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05" windowHeight="6255" activeTab="0"/>
  </bookViews>
  <sheets>
    <sheet name="Weight &amp; Balance" sheetId="1" r:id="rId1"/>
    <sheet name="SR20" sheetId="2" r:id="rId2"/>
    <sheet name="152" sheetId="3" r:id="rId3"/>
    <sheet name="172 S" sheetId="4" r:id="rId4"/>
    <sheet name="172 P" sheetId="5" r:id="rId5"/>
    <sheet name="DA40" sheetId="6" r:id="rId6"/>
    <sheet name="Data" sheetId="7" r:id="rId7"/>
    <sheet name="AC details" sheetId="8" r:id="rId8"/>
  </sheets>
  <definedNames>
    <definedName name="_xlnm.Print_Area" localSheetId="2">'152'!$D$1:$P$35</definedName>
    <definedName name="_xlnm.Print_Area" localSheetId="4">'172 P'!$E$1:$O$36</definedName>
    <definedName name="_xlnm.Print_Area" localSheetId="3">'172 S'!$E$1:$N$36</definedName>
    <definedName name="_xlnm.Print_Area" localSheetId="5">'DA40'!$D$1:$R$36</definedName>
    <definedName name="_xlnm.Print_Area" localSheetId="6">'Data'!$B$1:$V$6</definedName>
    <definedName name="_xlnm.Print_Area" localSheetId="1">'SR20'!$C$1:$P$36</definedName>
    <definedName name="_xlnm.Print_Area" localSheetId="0">'Weight &amp; Balance'!$A$1:$N$60</definedName>
  </definedNames>
  <calcPr fullCalcOnLoad="1"/>
</workbook>
</file>

<file path=xl/sharedStrings.xml><?xml version="1.0" encoding="utf-8"?>
<sst xmlns="http://schemas.openxmlformats.org/spreadsheetml/2006/main" count="161" uniqueCount="125">
  <si>
    <t>Weight &amp; Balance Calculations</t>
  </si>
  <si>
    <t>Item</t>
  </si>
  <si>
    <t>Weight (lbs)</t>
  </si>
  <si>
    <t>Arm-CG (in)</t>
  </si>
  <si>
    <t>Moment (lbs-in)</t>
  </si>
  <si>
    <t>Baggage 1</t>
  </si>
  <si>
    <t>Baggage 2</t>
  </si>
  <si>
    <t>Zero Fuel Weight</t>
  </si>
  <si>
    <t>Rear Seat 2</t>
  </si>
  <si>
    <t>Rear Seat 1</t>
  </si>
  <si>
    <t>Current Conditions</t>
  </si>
  <si>
    <t>Temperature</t>
  </si>
  <si>
    <t>Altimeter Setting</t>
  </si>
  <si>
    <t>Performance Data</t>
  </si>
  <si>
    <t>Vx</t>
  </si>
  <si>
    <t>Vy</t>
  </si>
  <si>
    <t>Va</t>
  </si>
  <si>
    <t>Cruise Climb Speed</t>
  </si>
  <si>
    <t>Multi Engine Only</t>
  </si>
  <si>
    <t>Barrier Speed</t>
  </si>
  <si>
    <t>Vxse</t>
  </si>
  <si>
    <t>Vyse</t>
  </si>
  <si>
    <t>Crosswind</t>
  </si>
  <si>
    <t>Headwind</t>
  </si>
  <si>
    <t>Airport Elevation</t>
  </si>
  <si>
    <t>Pressure Altitude</t>
  </si>
  <si>
    <t>Density Altitude</t>
  </si>
  <si>
    <t>Runway Length</t>
  </si>
  <si>
    <t>Accelerate Stop</t>
  </si>
  <si>
    <t>Notes:</t>
  </si>
  <si>
    <t>Moment</t>
  </si>
  <si>
    <t>Type</t>
  </si>
  <si>
    <t>C152</t>
  </si>
  <si>
    <t>Aircraft No.</t>
  </si>
  <si>
    <t>Date of Change</t>
  </si>
  <si>
    <t>Useful Load</t>
  </si>
  <si>
    <t>Arm of EWCG</t>
  </si>
  <si>
    <t>Visibility</t>
  </si>
  <si>
    <t>DewPoint</t>
  </si>
  <si>
    <t>Runway</t>
  </si>
  <si>
    <t>Vr</t>
  </si>
  <si>
    <t>Instructor</t>
  </si>
  <si>
    <t>Weight</t>
  </si>
  <si>
    <t>Rear Seat CG</t>
  </si>
  <si>
    <t>Front Seat CG</t>
  </si>
  <si>
    <t>.</t>
  </si>
  <si>
    <t>Gal: Start, Taxi, Runup</t>
  </si>
  <si>
    <t>Instructor :</t>
  </si>
  <si>
    <t>Aircraft ID :</t>
  </si>
  <si>
    <t>Takeoff Decision Altitude</t>
  </si>
  <si>
    <t>Fuel CG</t>
  </si>
  <si>
    <t>Baggage 2 CG</t>
  </si>
  <si>
    <t>Baggage 1 CG</t>
  </si>
  <si>
    <t>Cruise Climb</t>
  </si>
  <si>
    <t>70-80</t>
  </si>
  <si>
    <t>75-85</t>
  </si>
  <si>
    <t>Va Max</t>
  </si>
  <si>
    <t>kts</t>
  </si>
  <si>
    <t>'</t>
  </si>
  <si>
    <t xml:space="preserve">Usable Fuel (Gal): </t>
  </si>
  <si>
    <t>Fuel Start, Taxi, Run-up (Gal) :</t>
  </si>
  <si>
    <t>Estimated Fuel Burn (Gal) :</t>
  </si>
  <si>
    <t>M</t>
  </si>
  <si>
    <t>I</t>
  </si>
  <si>
    <t>S</t>
  </si>
  <si>
    <t>C</t>
  </si>
  <si>
    <t>= Cells where data can be</t>
  </si>
  <si>
    <t>entered and changed.</t>
  </si>
  <si>
    <t>Ramp Wt.</t>
  </si>
  <si>
    <t>Lndg. Wt.</t>
  </si>
  <si>
    <t>Takeoff Wt.</t>
  </si>
  <si>
    <t>Ramp Weight :</t>
  </si>
  <si>
    <t>Basic Empty Weight :</t>
  </si>
  <si>
    <t>Information</t>
  </si>
  <si>
    <t>Wind Direction</t>
  </si>
  <si>
    <t>Wind Speed</t>
  </si>
  <si>
    <t>Basic Empty Wt.</t>
  </si>
  <si>
    <t>C172S</t>
  </si>
  <si>
    <t>na</t>
  </si>
  <si>
    <t>NA</t>
  </si>
  <si>
    <t>N/A</t>
  </si>
  <si>
    <t>n/a</t>
  </si>
  <si>
    <t>Front Seat 1</t>
  </si>
  <si>
    <t>Front Seat 2</t>
  </si>
  <si>
    <t>C172P</t>
  </si>
  <si>
    <t>SR20</t>
  </si>
  <si>
    <t>-</t>
  </si>
  <si>
    <t>Takeoff Grnd Roll</t>
  </si>
  <si>
    <t>Takeoff Dist (50')</t>
  </si>
  <si>
    <t>Land Dist. (50')</t>
  </si>
  <si>
    <t>Land Dist. Grnd Roll</t>
  </si>
  <si>
    <t>feet</t>
  </si>
  <si>
    <t>AWOS</t>
  </si>
  <si>
    <t>Time (UTC)</t>
  </si>
  <si>
    <t>Fuel</t>
  </si>
  <si>
    <t>weight</t>
  </si>
  <si>
    <t>cg</t>
  </si>
  <si>
    <t/>
  </si>
  <si>
    <t>Takeoff  Weight :</t>
  </si>
  <si>
    <t>Landing  Weight :</t>
  </si>
  <si>
    <t>Steve</t>
  </si>
  <si>
    <t>Sferguson</t>
  </si>
  <si>
    <t>Steve Ferguson</t>
  </si>
  <si>
    <t>605US</t>
  </si>
  <si>
    <t>DA40</t>
  </si>
  <si>
    <t>Southwest Flight Center</t>
  </si>
  <si>
    <t>480-483-3049</t>
  </si>
  <si>
    <t>480-951-2525</t>
  </si>
  <si>
    <t>Wayne</t>
  </si>
  <si>
    <t>Wpratt</t>
  </si>
  <si>
    <t>Wayne Pratt</t>
  </si>
  <si>
    <t xml:space="preserve">Pilot   </t>
  </si>
  <si>
    <t>Wtest</t>
  </si>
  <si>
    <r>
      <rPr>
        <b/>
        <sz val="10"/>
        <rFont val="Arial"/>
        <family val="2"/>
      </rPr>
      <t>SDL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-118.6    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-119.9 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-121.6  </t>
    </r>
    <r>
      <rPr>
        <b/>
        <sz val="10"/>
        <rFont val="Arial"/>
        <family val="2"/>
      </rPr>
      <t xml:space="preserve"> CLR</t>
    </r>
    <r>
      <rPr>
        <sz val="10"/>
        <rFont val="Arial"/>
        <family val="2"/>
      </rPr>
      <t xml:space="preserve">-124.8 </t>
    </r>
    <r>
      <rPr>
        <b/>
        <sz val="10"/>
        <rFont val="Arial"/>
        <family val="2"/>
      </rPr>
      <t xml:space="preserve"> APC</t>
    </r>
    <r>
      <rPr>
        <sz val="10"/>
        <rFont val="Arial"/>
        <family val="2"/>
      </rPr>
      <t xml:space="preserve">-120.7 </t>
    </r>
  </si>
  <si>
    <r>
      <rPr>
        <b/>
        <sz val="10"/>
        <rFont val="Arial"/>
        <family val="2"/>
      </rPr>
      <t>HND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-120.775 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-125.1 </t>
    </r>
    <r>
      <rPr>
        <b/>
        <sz val="10"/>
        <rFont val="Arial"/>
        <family val="2"/>
      </rPr>
      <t xml:space="preserve"> G</t>
    </r>
    <r>
      <rPr>
        <sz val="10"/>
        <rFont val="Arial"/>
        <family val="2"/>
      </rPr>
      <t xml:space="preserve">-127.8  </t>
    </r>
    <r>
      <rPr>
        <b/>
        <sz val="10"/>
        <rFont val="Arial"/>
        <family val="2"/>
      </rPr>
      <t>APC</t>
    </r>
    <r>
      <rPr>
        <sz val="10"/>
        <rFont val="Arial"/>
        <family val="2"/>
      </rPr>
      <t xml:space="preserve"> 118.4(LAS)</t>
    </r>
  </si>
  <si>
    <t>-10</t>
  </si>
  <si>
    <t>N686US</t>
  </si>
  <si>
    <t>N number</t>
  </si>
  <si>
    <t>Empty Wt</t>
  </si>
  <si>
    <t>Empty CG</t>
  </si>
  <si>
    <t>2400G</t>
  </si>
  <si>
    <t>172S</t>
  </si>
  <si>
    <t>Empty Moment</t>
  </si>
  <si>
    <t>1097N</t>
  </si>
  <si>
    <t>3514U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</si>
</sst>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#,##0.0"/>
    <numFmt numFmtId="173" formatCode="[$-409]dddd\,\ mmmm\ dd\,\ yyyy"/>
    <numFmt numFmtId="174" formatCode="mmm\ /\ dd\ /\ yy"/>
    <numFmt numFmtId="175" formatCode="mmm\ /\ dd\ /\ \'yy"/>
    <numFmt numFmtId="176" formatCode="mmm\.\ dd\,\ \ \'yy"/>
    <numFmt numFmtId="177" formatCode="[$-F800]dddd\,\ mmmm\ dd\,\ yyyy"/>
    <numFmt numFmtId="178" formatCode="ddd\.\ mmm\ dd\,\ \'yy"/>
    <numFmt numFmtId="179" formatCode="ddd\.\ mm/dd/yy"/>
    <numFmt numFmtId="180" formatCode="[$-409]h:mm:ss\ AM/PM"/>
    <numFmt numFmtId="181" formatCode="h:mm;@"/>
    <numFmt numFmtId="182" formatCode="m/d/yy;@"/>
    <numFmt numFmtId="183" formatCode="mm/dd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9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2"/>
      <color indexed="10"/>
      <name val="PressWriter Symbols"/>
      <family val="0"/>
    </font>
    <font>
      <sz val="12"/>
      <name val="PressWriter Symbols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0"/>
      <name val="PressWriter Symbols"/>
      <family val="0"/>
    </font>
    <font>
      <b/>
      <sz val="14"/>
      <color indexed="10"/>
      <name val="PressWriter Symbols"/>
      <family val="0"/>
    </font>
    <font>
      <b/>
      <sz val="14"/>
      <name val="PressWriter Symbols"/>
      <family val="0"/>
    </font>
    <font>
      <b/>
      <sz val="14"/>
      <color indexed="10"/>
      <name val="Wingdings 3"/>
      <family val="1"/>
    </font>
    <font>
      <b/>
      <u val="single"/>
      <sz val="12"/>
      <name val="Arial"/>
      <family val="2"/>
    </font>
    <font>
      <sz val="8"/>
      <name val="Times New Roman"/>
      <family val="0"/>
    </font>
    <font>
      <b/>
      <i/>
      <sz val="11"/>
      <color indexed="8"/>
      <name val="Arial"/>
      <family val="2"/>
    </font>
    <font>
      <sz val="19.75"/>
      <color indexed="8"/>
      <name val="Arial"/>
      <family val="2"/>
    </font>
    <font>
      <b/>
      <sz val="11.25"/>
      <color indexed="8"/>
      <name val="Arial"/>
      <family val="2"/>
    </font>
    <font>
      <sz val="13.8"/>
      <color indexed="8"/>
      <name val="Arial"/>
      <family val="2"/>
    </font>
    <font>
      <sz val="18.75"/>
      <color indexed="8"/>
      <name val="Arial"/>
      <family val="2"/>
    </font>
    <font>
      <b/>
      <sz val="10.5"/>
      <color indexed="8"/>
      <name val="Arial"/>
      <family val="2"/>
    </font>
    <font>
      <sz val="13.1"/>
      <color indexed="8"/>
      <name val="Arial"/>
      <family val="2"/>
    </font>
    <font>
      <sz val="14.25"/>
      <color indexed="8"/>
      <name val="Arial"/>
      <family val="2"/>
    </font>
    <font>
      <b/>
      <sz val="8"/>
      <color indexed="8"/>
      <name val="Arial"/>
      <family val="2"/>
    </font>
    <font>
      <sz val="10.1"/>
      <color indexed="8"/>
      <name val="Arial"/>
      <family val="2"/>
    </font>
    <font>
      <sz val="15.5"/>
      <color indexed="8"/>
      <name val="Arial"/>
      <family val="2"/>
    </font>
    <font>
      <sz val="10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b/>
      <sz val="20.75"/>
      <color indexed="8"/>
      <name val="Arial"/>
      <family val="2"/>
    </font>
    <font>
      <b/>
      <sz val="19.75"/>
      <color indexed="8"/>
      <name val="Arial"/>
      <family val="2"/>
    </font>
    <font>
      <b/>
      <sz val="9"/>
      <color indexed="8"/>
      <name val="Arial"/>
      <family val="2"/>
    </font>
    <font>
      <b/>
      <sz val="13.5"/>
      <color indexed="8"/>
      <name val="Arial"/>
      <family val="2"/>
    </font>
    <font>
      <b/>
      <sz val="1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DashDotDot"/>
      <right style="mediumDashDotDot"/>
      <top style="mediumDashDotDot"/>
      <bottom style="mediumDashDotDot"/>
    </border>
    <border>
      <left style="double"/>
      <right style="double"/>
      <top style="double"/>
      <bottom style="double"/>
    </border>
    <border>
      <left style="mediumDashDotDot"/>
      <right style="mediumDashDotDot"/>
      <top style="mediumDashDotDot"/>
      <bottom>
        <color indexed="63"/>
      </bottom>
    </border>
    <border>
      <left style="mediumDashDotDot"/>
      <right style="dashed"/>
      <top style="mediumDashDotDot"/>
      <bottom style="dashed"/>
    </border>
    <border>
      <left style="mediumDashDotDot"/>
      <right style="dashed"/>
      <top style="dashed"/>
      <bottom style="dashed"/>
    </border>
    <border>
      <left style="mediumDashDotDot"/>
      <right style="dashed"/>
      <top style="dashed"/>
      <bottom style="mediumDashDotDot"/>
    </border>
    <border>
      <left style="slantDashDot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slantDashDot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DashDotDot"/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slantDashDot"/>
      <right>
        <color indexed="63"/>
      </right>
      <top style="slantDashDot"/>
      <bottom style="dashed"/>
    </border>
    <border>
      <left>
        <color indexed="63"/>
      </left>
      <right>
        <color indexed="63"/>
      </right>
      <top style="slantDashDot"/>
      <bottom style="dashed"/>
    </border>
    <border>
      <left>
        <color indexed="63"/>
      </left>
      <right style="slantDashDot"/>
      <top style="slantDashDot"/>
      <bottom style="dashed"/>
    </border>
    <border>
      <left style="dashed"/>
      <right>
        <color indexed="63"/>
      </right>
      <top style="dashed"/>
      <bottom style="mediumDashDotDot"/>
    </border>
    <border>
      <left>
        <color indexed="63"/>
      </left>
      <right>
        <color indexed="63"/>
      </right>
      <top style="dashed"/>
      <bottom style="mediumDashDotDot"/>
    </border>
    <border>
      <left>
        <color indexed="63"/>
      </left>
      <right style="mediumDashDotDot"/>
      <top style="dashed"/>
      <bottom style="mediumDashDotDot"/>
    </border>
    <border>
      <left style="slantDashDot"/>
      <right>
        <color indexed="63"/>
      </right>
      <top style="dashed"/>
      <bottom style="slantDashDot"/>
    </border>
    <border>
      <left>
        <color indexed="63"/>
      </left>
      <right>
        <color indexed="63"/>
      </right>
      <top style="dashed"/>
      <bottom style="slantDashDot"/>
    </border>
    <border>
      <left>
        <color indexed="63"/>
      </left>
      <right style="slantDashDot"/>
      <top style="dashed"/>
      <bottom style="slantDashDot"/>
    </border>
    <border>
      <left style="mediumDashDotDot"/>
      <right>
        <color indexed="63"/>
      </right>
      <top style="mediumDashDotDot"/>
      <bottom style="dashed"/>
    </border>
    <border>
      <left>
        <color indexed="63"/>
      </left>
      <right style="mediumDashDotDot"/>
      <top style="mediumDashDotDot"/>
      <bottom style="dashed"/>
    </border>
    <border>
      <left style="mediumDashDotDot"/>
      <right>
        <color indexed="63"/>
      </right>
      <top style="dashed"/>
      <bottom style="mediumDashDotDot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dashed"/>
      <right style="dashed"/>
      <top style="mediumDashDotDot"/>
      <bottom style="dashed"/>
    </border>
    <border>
      <left style="dashed"/>
      <right style="mediumDashDotDot"/>
      <top style="mediumDashDotDot"/>
      <bottom style="dashed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right" inden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5" xfId="0" applyFont="1" applyFill="1" applyBorder="1" applyAlignment="1" applyProtection="1">
      <alignment horizontal="right" indent="1"/>
      <protection/>
    </xf>
    <xf numFmtId="0" fontId="2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 inden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inden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30" xfId="0" applyBorder="1" applyAlignment="1" applyProtection="1">
      <alignment horizontal="left" indent="1"/>
      <protection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center"/>
      <protection locked="0"/>
    </xf>
    <xf numFmtId="0" fontId="0" fillId="35" borderId="21" xfId="0" applyFill="1" applyBorder="1" applyAlignment="1">
      <alignment horizontal="center"/>
    </xf>
    <xf numFmtId="0" fontId="0" fillId="0" borderId="0" xfId="0" applyBorder="1" applyAlignment="1" quotePrefix="1">
      <alignment horizontal="left" indent="1"/>
    </xf>
    <xf numFmtId="0" fontId="0" fillId="0" borderId="0" xfId="0" applyBorder="1" applyAlignment="1">
      <alignment horizontal="left" indent="2"/>
    </xf>
    <xf numFmtId="0" fontId="7" fillId="0" borderId="33" xfId="0" applyFont="1" applyFill="1" applyBorder="1" applyAlignment="1" applyProtection="1">
      <alignment horizontal="left" vertical="center"/>
      <protection/>
    </xf>
    <xf numFmtId="4" fontId="7" fillId="0" borderId="35" xfId="0" applyNumberFormat="1" applyFont="1" applyFill="1" applyBorder="1" applyAlignment="1" applyProtection="1">
      <alignment horizontal="right" vertical="center" indent="3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2" fontId="7" fillId="33" borderId="0" xfId="0" applyNumberFormat="1" applyFont="1" applyFill="1" applyBorder="1" applyAlignment="1" applyProtection="1">
      <alignment horizontal="right" vertical="center" indent="3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 indent="3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right" vertical="center"/>
      <protection/>
    </xf>
    <xf numFmtId="4" fontId="7" fillId="0" borderId="41" xfId="0" applyNumberFormat="1" applyFont="1" applyFill="1" applyBorder="1" applyAlignment="1" applyProtection="1">
      <alignment horizontal="right" vertical="center" indent="3"/>
      <protection/>
    </xf>
    <xf numFmtId="0" fontId="7" fillId="0" borderId="0" xfId="0" applyFont="1" applyFill="1" applyBorder="1" applyAlignment="1" applyProtection="1">
      <alignment horizontal="left" indent="2"/>
      <protection locked="0"/>
    </xf>
    <xf numFmtId="1" fontId="3" fillId="0" borderId="42" xfId="0" applyNumberFormat="1" applyFont="1" applyFill="1" applyBorder="1" applyAlignment="1" applyProtection="1" quotePrefix="1">
      <alignment horizontal="right" vertical="center" indent="2"/>
      <protection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 quotePrefix="1">
      <alignment horizontal="left" vertical="center" indent="1"/>
    </xf>
    <xf numFmtId="166" fontId="16" fillId="0" borderId="0" xfId="0" applyNumberFormat="1" applyFont="1" applyAlignment="1" quotePrefix="1">
      <alignment horizontal="left" indent="1"/>
    </xf>
    <xf numFmtId="3" fontId="16" fillId="0" borderId="0" xfId="0" applyNumberFormat="1" applyFont="1" applyBorder="1" applyAlignment="1" quotePrefix="1">
      <alignment horizontal="left" vertical="center" indent="1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8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43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righ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0" fontId="7" fillId="0" borderId="43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left" indent="1"/>
      <protection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3" fontId="7" fillId="0" borderId="14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3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7" fillId="0" borderId="33" xfId="0" applyFont="1" applyFill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left" vertical="center" indent="3"/>
      <protection/>
    </xf>
    <xf numFmtId="0" fontId="2" fillId="0" borderId="34" xfId="0" applyFont="1" applyBorder="1" applyAlignment="1" applyProtection="1">
      <alignment horizontal="left" vertical="center" indent="5"/>
      <protection/>
    </xf>
    <xf numFmtId="0" fontId="2" fillId="0" borderId="32" xfId="0" applyFont="1" applyBorder="1" applyAlignment="1" applyProtection="1">
      <alignment horizontal="left" vertical="center" indent="8"/>
      <protection/>
    </xf>
    <xf numFmtId="0" fontId="2" fillId="0" borderId="44" xfId="0" applyFont="1" applyBorder="1" applyAlignment="1" applyProtection="1">
      <alignment horizontal="left" vertical="center" indent="8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 vertical="center" indent="4"/>
      <protection/>
    </xf>
    <xf numFmtId="0" fontId="2" fillId="0" borderId="30" xfId="0" applyFont="1" applyBorder="1" applyAlignment="1" applyProtection="1">
      <alignment/>
      <protection/>
    </xf>
    <xf numFmtId="3" fontId="2" fillId="0" borderId="45" xfId="0" applyNumberFormat="1" applyFont="1" applyBorder="1" applyAlignment="1" applyProtection="1">
      <alignment horizontal="right" vertical="center" indent="4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1" fillId="0" borderId="23" xfId="57" applyFont="1" applyBorder="1" applyAlignment="1">
      <alignment/>
      <protection/>
    </xf>
    <xf numFmtId="4" fontId="0" fillId="0" borderId="23" xfId="57" applyNumberFormat="1" applyBorder="1" applyAlignment="1">
      <alignment horizontal="center"/>
      <protection/>
    </xf>
    <xf numFmtId="172" fontId="0" fillId="0" borderId="19" xfId="57" applyNumberFormat="1" applyFill="1" applyBorder="1" applyAlignment="1">
      <alignment horizontal="center"/>
      <protection/>
    </xf>
    <xf numFmtId="172" fontId="0" fillId="0" borderId="19" xfId="57" applyNumberFormat="1" applyBorder="1" applyAlignment="1">
      <alignment horizontal="center"/>
      <protection/>
    </xf>
    <xf numFmtId="183" fontId="0" fillId="0" borderId="19" xfId="57" applyNumberFormat="1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7" fillId="0" borderId="43" xfId="0" applyNumberFormat="1" applyFont="1" applyFill="1" applyBorder="1" applyAlignment="1" applyProtection="1">
      <alignment vertical="center"/>
      <protection/>
    </xf>
    <xf numFmtId="0" fontId="0" fillId="0" borderId="19" xfId="57" applyFont="1" applyFill="1" applyBorder="1" applyAlignment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right" indent="1"/>
      <protection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/>
    </xf>
    <xf numFmtId="4" fontId="0" fillId="0" borderId="21" xfId="0" applyNumberFormat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19" xfId="0" applyFont="1" applyBorder="1" applyAlignment="1" applyProtection="1">
      <alignment horizontal="left" indent="1"/>
      <protection/>
    </xf>
    <xf numFmtId="0" fontId="1" fillId="2" borderId="21" xfId="0" applyFont="1" applyFill="1" applyBorder="1" applyAlignment="1">
      <alignment horizontal="center" wrapText="1"/>
    </xf>
    <xf numFmtId="14" fontId="1" fillId="2" borderId="21" xfId="0" applyNumberFormat="1" applyFont="1" applyFill="1" applyBorder="1" applyAlignment="1">
      <alignment horizontal="center"/>
    </xf>
    <xf numFmtId="0" fontId="1" fillId="5" borderId="23" xfId="57" applyFont="1" applyFill="1" applyBorder="1" applyAlignment="1">
      <alignment horizontal="center"/>
      <protection/>
    </xf>
    <xf numFmtId="0" fontId="1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3" fontId="3" fillId="6" borderId="42" xfId="0" applyNumberFormat="1" applyFont="1" applyFill="1" applyBorder="1" applyAlignment="1" applyProtection="1">
      <alignment vertical="center"/>
      <protection locked="0"/>
    </xf>
    <xf numFmtId="3" fontId="7" fillId="6" borderId="36" xfId="0" applyNumberFormat="1" applyFont="1" applyFill="1" applyBorder="1" applyAlignment="1" applyProtection="1" quotePrefix="1">
      <alignment vertical="center"/>
      <protection/>
    </xf>
    <xf numFmtId="0" fontId="7" fillId="0" borderId="42" xfId="0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 quotePrefix="1">
      <alignment horizontal="left" vertical="center"/>
      <protection/>
    </xf>
    <xf numFmtId="0" fontId="7" fillId="0" borderId="29" xfId="0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 quotePrefix="1">
      <alignment horizontal="left" vertical="center"/>
      <protection/>
    </xf>
    <xf numFmtId="3" fontId="3" fillId="2" borderId="29" xfId="0" applyNumberFormat="1" applyFont="1" applyFill="1" applyBorder="1" applyAlignment="1" applyProtection="1">
      <alignment vertical="center"/>
      <protection/>
    </xf>
    <xf numFmtId="3" fontId="7" fillId="2" borderId="45" xfId="0" applyNumberFormat="1" applyFont="1" applyFill="1" applyBorder="1" applyAlignment="1" applyProtection="1" quotePrefix="1">
      <alignment vertical="center"/>
      <protection/>
    </xf>
    <xf numFmtId="3" fontId="3" fillId="2" borderId="42" xfId="0" applyNumberFormat="1" applyFont="1" applyFill="1" applyBorder="1" applyAlignment="1" applyProtection="1">
      <alignment vertical="center"/>
      <protection/>
    </xf>
    <xf numFmtId="3" fontId="7" fillId="2" borderId="36" xfId="0" applyNumberFormat="1" applyFont="1" applyFill="1" applyBorder="1" applyAlignment="1" applyProtection="1" quotePrefix="1">
      <alignment vertical="center"/>
      <protection/>
    </xf>
    <xf numFmtId="0" fontId="3" fillId="0" borderId="53" xfId="0" applyFont="1" applyFill="1" applyBorder="1" applyAlignment="1" applyProtection="1">
      <alignment horizontal="right" indent="4"/>
      <protection locked="0"/>
    </xf>
    <xf numFmtId="0" fontId="3" fillId="0" borderId="54" xfId="0" applyFont="1" applyFill="1" applyBorder="1" applyAlignment="1" applyProtection="1">
      <alignment horizontal="right" indent="4"/>
      <protection locked="0"/>
    </xf>
    <xf numFmtId="0" fontId="3" fillId="0" borderId="55" xfId="0" applyFont="1" applyFill="1" applyBorder="1" applyAlignment="1" applyProtection="1">
      <alignment horizontal="right" indent="4"/>
      <protection locked="0"/>
    </xf>
    <xf numFmtId="172" fontId="3" fillId="0" borderId="56" xfId="0" applyNumberFormat="1" applyFont="1" applyFill="1" applyBorder="1" applyAlignment="1" applyProtection="1">
      <alignment horizontal="right" vertical="center" indent="3"/>
      <protection locked="0"/>
    </xf>
    <xf numFmtId="172" fontId="3" fillId="0" borderId="54" xfId="0" applyNumberFormat="1" applyFont="1" applyFill="1" applyBorder="1" applyAlignment="1" applyProtection="1">
      <alignment horizontal="right" vertical="center" indent="3"/>
      <protection locked="0"/>
    </xf>
    <xf numFmtId="172" fontId="3" fillId="0" borderId="57" xfId="0" applyNumberFormat="1" applyFont="1" applyFill="1" applyBorder="1" applyAlignment="1" applyProtection="1">
      <alignment horizontal="right" vertical="center" indent="3"/>
      <protection locked="0"/>
    </xf>
    <xf numFmtId="172" fontId="2" fillId="0" borderId="58" xfId="0" applyNumberFormat="1" applyFont="1" applyBorder="1" applyAlignment="1" applyProtection="1">
      <alignment horizontal="right" vertical="center" indent="3"/>
      <protection/>
    </xf>
    <xf numFmtId="172" fontId="7" fillId="0" borderId="39" xfId="0" applyNumberFormat="1" applyFont="1" applyBorder="1" applyAlignment="1" applyProtection="1">
      <alignment horizontal="right" vertical="center" indent="3"/>
      <protection/>
    </xf>
    <xf numFmtId="4" fontId="2" fillId="0" borderId="43" xfId="0" applyNumberFormat="1" applyFont="1" applyBorder="1" applyAlignment="1" applyProtection="1">
      <alignment horizontal="right" vertical="center" indent="3"/>
      <protection/>
    </xf>
    <xf numFmtId="4" fontId="2" fillId="0" borderId="31" xfId="0" applyNumberFormat="1" applyFont="1" applyBorder="1" applyAlignment="1" applyProtection="1">
      <alignment horizontal="right" vertical="center" indent="3"/>
      <protection/>
    </xf>
    <xf numFmtId="0" fontId="2" fillId="0" borderId="30" xfId="0" applyFont="1" applyBorder="1" applyAlignment="1" applyProtection="1">
      <alignment horizontal="right" inden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7" fillId="0" borderId="38" xfId="0" applyNumberFormat="1" applyFont="1" applyBorder="1" applyAlignment="1" applyProtection="1">
      <alignment horizontal="right" vertical="center" indent="3"/>
      <protection/>
    </xf>
    <xf numFmtId="172" fontId="7" fillId="0" borderId="16" xfId="0" applyNumberFormat="1" applyFont="1" applyBorder="1" applyAlignment="1" applyProtection="1">
      <alignment horizontal="right" vertical="center" indent="3"/>
      <protection/>
    </xf>
    <xf numFmtId="172" fontId="7" fillId="0" borderId="35" xfId="0" applyNumberFormat="1" applyFont="1" applyBorder="1" applyAlignment="1" applyProtection="1">
      <alignment horizontal="right" vertical="center" indent="3"/>
      <protection/>
    </xf>
    <xf numFmtId="172" fontId="7" fillId="10" borderId="39" xfId="0" applyNumberFormat="1" applyFont="1" applyFill="1" applyBorder="1" applyAlignment="1" applyProtection="1">
      <alignment horizontal="right" vertical="center" indent="3"/>
      <protection/>
    </xf>
    <xf numFmtId="4" fontId="2" fillId="0" borderId="21" xfId="0" applyNumberFormat="1" applyFont="1" applyBorder="1" applyAlignment="1" applyProtection="1">
      <alignment horizontal="right" vertical="center" indent="3"/>
      <protection/>
    </xf>
    <xf numFmtId="172" fontId="2" fillId="0" borderId="56" xfId="0" applyNumberFormat="1" applyFont="1" applyBorder="1" applyAlignment="1" applyProtection="1" quotePrefix="1">
      <alignment horizontal="right" vertical="center" indent="3"/>
      <protection/>
    </xf>
    <xf numFmtId="172" fontId="2" fillId="0" borderId="54" xfId="0" applyNumberFormat="1" applyFont="1" applyBorder="1" applyAlignment="1" applyProtection="1" quotePrefix="1">
      <alignment horizontal="right" vertical="center" indent="3"/>
      <protection/>
    </xf>
    <xf numFmtId="172" fontId="2" fillId="0" borderId="57" xfId="0" applyNumberFormat="1" applyFont="1" applyBorder="1" applyAlignment="1" applyProtection="1" quotePrefix="1">
      <alignment horizontal="right" vertical="center" indent="3"/>
      <protection/>
    </xf>
    <xf numFmtId="172" fontId="2" fillId="0" borderId="59" xfId="0" applyNumberFormat="1" applyFont="1" applyBorder="1" applyAlignment="1" applyProtection="1">
      <alignment horizontal="right" vertical="center" indent="3"/>
      <protection/>
    </xf>
    <xf numFmtId="172" fontId="2" fillId="0" borderId="60" xfId="0" applyNumberFormat="1" applyFont="1" applyBorder="1" applyAlignment="1" applyProtection="1">
      <alignment horizontal="right" vertical="center" indent="3"/>
      <protection/>
    </xf>
    <xf numFmtId="172" fontId="7" fillId="36" borderId="41" xfId="0" applyNumberFormat="1" applyFont="1" applyFill="1" applyBorder="1" applyAlignment="1" applyProtection="1">
      <alignment horizontal="right" vertical="center" indent="3"/>
      <protection/>
    </xf>
    <xf numFmtId="172" fontId="7" fillId="36" borderId="61" xfId="0" applyNumberFormat="1" applyFont="1" applyFill="1" applyBorder="1" applyAlignment="1" applyProtection="1">
      <alignment horizontal="right" vertical="center" indent="3"/>
      <protection/>
    </xf>
    <xf numFmtId="0" fontId="2" fillId="0" borderId="0" xfId="0" applyFont="1" applyBorder="1" applyAlignment="1" applyProtection="1">
      <alignment horizontal="right" indent="1"/>
      <protection/>
    </xf>
    <xf numFmtId="4" fontId="2" fillId="0" borderId="60" xfId="0" applyNumberFormat="1" applyFont="1" applyBorder="1" applyAlignment="1" applyProtection="1">
      <alignment horizontal="right" vertical="center" indent="3"/>
      <protection/>
    </xf>
    <xf numFmtId="49" fontId="3" fillId="0" borderId="53" xfId="0" applyNumberFormat="1" applyFont="1" applyFill="1" applyBorder="1" applyAlignment="1" applyProtection="1">
      <alignment horizontal="right" indent="4"/>
      <protection locked="0"/>
    </xf>
    <xf numFmtId="49" fontId="3" fillId="0" borderId="54" xfId="0" applyNumberFormat="1" applyFont="1" applyFill="1" applyBorder="1" applyAlignment="1" applyProtection="1">
      <alignment horizontal="right" indent="4"/>
      <protection locked="0"/>
    </xf>
    <xf numFmtId="49" fontId="3" fillId="0" borderId="55" xfId="0" applyNumberFormat="1" applyFont="1" applyFill="1" applyBorder="1" applyAlignment="1" applyProtection="1">
      <alignment horizontal="right" indent="4"/>
      <protection locked="0"/>
    </xf>
    <xf numFmtId="0" fontId="3" fillId="0" borderId="62" xfId="0" applyFont="1" applyFill="1" applyBorder="1" applyAlignment="1" applyProtection="1">
      <alignment horizontal="right" indent="4"/>
      <protection locked="0"/>
    </xf>
    <xf numFmtId="0" fontId="3" fillId="0" borderId="63" xfId="0" applyFont="1" applyFill="1" applyBorder="1" applyAlignment="1" applyProtection="1">
      <alignment horizontal="right" indent="4"/>
      <protection locked="0"/>
    </xf>
    <xf numFmtId="0" fontId="3" fillId="0" borderId="64" xfId="0" applyFont="1" applyFill="1" applyBorder="1" applyAlignment="1" applyProtection="1">
      <alignment horizontal="right" indent="4"/>
      <protection locked="0"/>
    </xf>
    <xf numFmtId="1" fontId="3" fillId="0" borderId="53" xfId="0" applyNumberFormat="1" applyFont="1" applyFill="1" applyBorder="1" applyAlignment="1" applyProtection="1">
      <alignment horizontal="right" indent="4"/>
      <protection locked="0"/>
    </xf>
    <xf numFmtId="1" fontId="3" fillId="0" borderId="54" xfId="0" applyNumberFormat="1" applyFont="1" applyFill="1" applyBorder="1" applyAlignment="1" applyProtection="1">
      <alignment horizontal="right" indent="4"/>
      <protection locked="0"/>
    </xf>
    <xf numFmtId="1" fontId="3" fillId="0" borderId="55" xfId="0" applyNumberFormat="1" applyFont="1" applyFill="1" applyBorder="1" applyAlignment="1" applyProtection="1">
      <alignment horizontal="right" indent="4"/>
      <protection locked="0"/>
    </xf>
    <xf numFmtId="2" fontId="3" fillId="0" borderId="53" xfId="0" applyNumberFormat="1" applyFont="1" applyFill="1" applyBorder="1" applyAlignment="1" applyProtection="1">
      <alignment horizontal="right" indent="4"/>
      <protection locked="0"/>
    </xf>
    <xf numFmtId="2" fontId="3" fillId="0" borderId="54" xfId="0" applyNumberFormat="1" applyFont="1" applyFill="1" applyBorder="1" applyAlignment="1" applyProtection="1">
      <alignment horizontal="right" indent="4"/>
      <protection locked="0"/>
    </xf>
    <xf numFmtId="2" fontId="3" fillId="0" borderId="55" xfId="0" applyNumberFormat="1" applyFont="1" applyFill="1" applyBorder="1" applyAlignment="1" applyProtection="1">
      <alignment horizontal="right" indent="4"/>
      <protection locked="0"/>
    </xf>
    <xf numFmtId="172" fontId="3" fillId="0" borderId="65" xfId="0" applyNumberFormat="1" applyFont="1" applyFill="1" applyBorder="1" applyAlignment="1" applyProtection="1">
      <alignment horizontal="right" vertical="center" indent="3"/>
      <protection locked="0"/>
    </xf>
    <xf numFmtId="172" fontId="3" fillId="0" borderId="66" xfId="0" applyNumberFormat="1" applyFont="1" applyFill="1" applyBorder="1" applyAlignment="1" applyProtection="1">
      <alignment horizontal="right" vertical="center" indent="3"/>
      <protection locked="0"/>
    </xf>
    <xf numFmtId="172" fontId="3" fillId="0" borderId="67" xfId="0" applyNumberFormat="1" applyFont="1" applyFill="1" applyBorder="1" applyAlignment="1" applyProtection="1">
      <alignment horizontal="right" vertical="center" indent="3"/>
      <protection locked="0"/>
    </xf>
    <xf numFmtId="0" fontId="3" fillId="0" borderId="68" xfId="0" applyFont="1" applyFill="1" applyBorder="1" applyAlignment="1" applyProtection="1">
      <alignment horizontal="right" indent="4"/>
      <protection locked="0"/>
    </xf>
    <xf numFmtId="0" fontId="3" fillId="0" borderId="69" xfId="0" applyFont="1" applyFill="1" applyBorder="1" applyAlignment="1" applyProtection="1">
      <alignment horizontal="right" indent="4"/>
      <protection locked="0"/>
    </xf>
    <xf numFmtId="0" fontId="3" fillId="0" borderId="70" xfId="0" applyFont="1" applyFill="1" applyBorder="1" applyAlignment="1" applyProtection="1">
      <alignment horizontal="right" indent="4"/>
      <protection locked="0"/>
    </xf>
    <xf numFmtId="0" fontId="7" fillId="0" borderId="71" xfId="0" applyFont="1" applyFill="1" applyBorder="1" applyAlignment="1" applyProtection="1">
      <alignment horizontal="left" indent="2"/>
      <protection locked="0"/>
    </xf>
    <xf numFmtId="0" fontId="7" fillId="0" borderId="72" xfId="0" applyFont="1" applyFill="1" applyBorder="1" applyAlignment="1" applyProtection="1">
      <alignment horizontal="left" indent="2"/>
      <protection locked="0"/>
    </xf>
    <xf numFmtId="0" fontId="7" fillId="0" borderId="73" xfId="0" applyFont="1" applyFill="1" applyBorder="1" applyAlignment="1" applyProtection="1">
      <alignment horizontal="left" indent="2"/>
      <protection locked="0"/>
    </xf>
    <xf numFmtId="0" fontId="7" fillId="0" borderId="67" xfId="0" applyFont="1" applyFill="1" applyBorder="1" applyAlignment="1" applyProtection="1">
      <alignment horizontal="left" indent="2"/>
      <protection locked="0"/>
    </xf>
    <xf numFmtId="0" fontId="25" fillId="0" borderId="43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Border="1" applyAlignment="1" applyProtection="1">
      <alignment horizontal="right" indent="5"/>
      <protection/>
    </xf>
    <xf numFmtId="177" fontId="7" fillId="0" borderId="0" xfId="0" applyNumberFormat="1" applyFont="1" applyBorder="1" applyAlignment="1" applyProtection="1">
      <alignment horizontal="right" indent="5"/>
      <protection/>
    </xf>
    <xf numFmtId="0" fontId="7" fillId="0" borderId="74" xfId="0" applyFont="1" applyFill="1" applyBorder="1" applyAlignment="1" applyProtection="1">
      <alignment horizontal="left" indent="1"/>
      <protection locked="0"/>
    </xf>
    <xf numFmtId="0" fontId="7" fillId="0" borderId="75" xfId="0" applyFont="1" applyFill="1" applyBorder="1" applyAlignment="1" applyProtection="1">
      <alignment horizontal="left" indent="1"/>
      <protection locked="0"/>
    </xf>
    <xf numFmtId="0" fontId="7" fillId="0" borderId="76" xfId="0" applyFont="1" applyFill="1" applyBorder="1" applyAlignment="1" applyProtection="1">
      <alignment horizontal="left" indent="1"/>
      <protection locked="0"/>
    </xf>
    <xf numFmtId="0" fontId="11" fillId="34" borderId="13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172" fontId="2" fillId="0" borderId="77" xfId="0" applyNumberFormat="1" applyFont="1" applyBorder="1" applyAlignment="1" applyProtection="1" quotePrefix="1">
      <alignment horizontal="right" vertical="center" indent="3"/>
      <protection/>
    </xf>
    <xf numFmtId="172" fontId="2" fillId="0" borderId="77" xfId="0" applyNumberFormat="1" applyFont="1" applyBorder="1" applyAlignment="1" applyProtection="1">
      <alignment horizontal="right" vertical="center" indent="3"/>
      <protection/>
    </xf>
    <xf numFmtId="172" fontId="2" fillId="0" borderId="78" xfId="0" applyNumberFormat="1" applyFont="1" applyBorder="1" applyAlignment="1" applyProtection="1">
      <alignment horizontal="right" vertical="center" indent="3"/>
      <protection/>
    </xf>
    <xf numFmtId="4" fontId="7" fillId="0" borderId="21" xfId="0" applyNumberFormat="1" applyFont="1" applyBorder="1" applyAlignment="1" applyProtection="1">
      <alignment horizontal="right" vertical="center" indent="3"/>
      <protection/>
    </xf>
    <xf numFmtId="4" fontId="7" fillId="0" borderId="79" xfId="0" applyNumberFormat="1" applyFont="1" applyBorder="1" applyAlignment="1" applyProtection="1">
      <alignment horizontal="right" vertical="center" indent="3"/>
      <protection/>
    </xf>
    <xf numFmtId="4" fontId="2" fillId="0" borderId="79" xfId="0" applyNumberFormat="1" applyFont="1" applyBorder="1" applyAlignment="1" applyProtection="1">
      <alignment horizontal="right" vertical="center" indent="3"/>
      <protection/>
    </xf>
    <xf numFmtId="4" fontId="7" fillId="0" borderId="42" xfId="0" applyNumberFormat="1" applyFont="1" applyBorder="1" applyAlignment="1" applyProtection="1">
      <alignment horizontal="right" vertical="center" indent="3"/>
      <protection/>
    </xf>
    <xf numFmtId="4" fontId="7" fillId="0" borderId="43" xfId="0" applyNumberFormat="1" applyFont="1" applyBorder="1" applyAlignment="1" applyProtection="1">
      <alignment horizontal="right" vertical="center" indent="3"/>
      <protection/>
    </xf>
    <xf numFmtId="4" fontId="7" fillId="0" borderId="31" xfId="0" applyNumberFormat="1" applyFont="1" applyBorder="1" applyAlignment="1" applyProtection="1">
      <alignment horizontal="right" vertical="center" indent="3"/>
      <protection/>
    </xf>
    <xf numFmtId="172" fontId="7" fillId="0" borderId="27" xfId="0" applyNumberFormat="1" applyFont="1" applyBorder="1" applyAlignment="1" applyProtection="1">
      <alignment horizontal="right" vertical="center" indent="3"/>
      <protection/>
    </xf>
    <xf numFmtId="172" fontId="7" fillId="0" borderId="22" xfId="0" applyNumberFormat="1" applyFont="1" applyBorder="1" applyAlignment="1" applyProtection="1">
      <alignment horizontal="right" vertical="center" indent="3"/>
      <protection/>
    </xf>
    <xf numFmtId="0" fontId="3" fillId="0" borderId="42" xfId="0" applyFont="1" applyBorder="1" applyAlignment="1" applyProtection="1">
      <alignment horizontal="right" vertical="center" wrapText="1"/>
      <protection/>
    </xf>
    <xf numFmtId="0" fontId="3" fillId="0" borderId="43" xfId="0" applyFont="1" applyBorder="1" applyAlignment="1" applyProtection="1">
      <alignment horizontal="right" vertical="center" wrapText="1"/>
      <protection/>
    </xf>
    <xf numFmtId="0" fontId="3" fillId="0" borderId="31" xfId="0" applyFont="1" applyBorder="1" applyAlignment="1" applyProtection="1">
      <alignment horizontal="right" vertical="center" wrapText="1"/>
      <protection/>
    </xf>
    <xf numFmtId="0" fontId="7" fillId="0" borderId="42" xfId="0" applyFont="1" applyFill="1" applyBorder="1" applyAlignment="1" applyProtection="1">
      <alignment horizontal="right"/>
      <protection/>
    </xf>
    <xf numFmtId="0" fontId="7" fillId="0" borderId="43" xfId="0" applyFont="1" applyFill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1" fontId="7" fillId="0" borderId="42" xfId="0" applyNumberFormat="1" applyFont="1" applyFill="1" applyBorder="1" applyAlignment="1" applyProtection="1">
      <alignment horizontal="right"/>
      <protection/>
    </xf>
    <xf numFmtId="1" fontId="7" fillId="0" borderId="43" xfId="0" applyNumberFormat="1" applyFont="1" applyFill="1" applyBorder="1" applyAlignment="1" applyProtection="1">
      <alignment horizontal="right"/>
      <protection/>
    </xf>
    <xf numFmtId="0" fontId="11" fillId="34" borderId="32" xfId="0" applyFont="1" applyFill="1" applyBorder="1" applyAlignment="1" applyProtection="1">
      <alignment horizontal="center"/>
      <protection/>
    </xf>
    <xf numFmtId="0" fontId="11" fillId="34" borderId="3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0" fontId="2" fillId="0" borderId="14" xfId="0" applyFont="1" applyBorder="1" applyAlignment="1" applyProtection="1">
      <alignment horizontal="left" indent="2"/>
      <protection locked="0"/>
    </xf>
    <xf numFmtId="0" fontId="11" fillId="34" borderId="44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right"/>
      <protection locked="0"/>
    </xf>
    <xf numFmtId="0" fontId="7" fillId="0" borderId="30" xfId="0" applyFont="1" applyFill="1" applyBorder="1" applyAlignment="1" applyProtection="1">
      <alignment horizontal="right"/>
      <protection locked="0"/>
    </xf>
    <xf numFmtId="3" fontId="7" fillId="0" borderId="42" xfId="0" applyNumberFormat="1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4" fontId="2" fillId="0" borderId="59" xfId="0" applyNumberFormat="1" applyFont="1" applyBorder="1" applyAlignment="1" applyProtection="1">
      <alignment horizontal="right" vertical="center" indent="3"/>
      <protection/>
    </xf>
    <xf numFmtId="4" fontId="2" fillId="0" borderId="80" xfId="0" applyNumberFormat="1" applyFont="1" applyBorder="1" applyAlignment="1" applyProtection="1">
      <alignment horizontal="right" vertical="center" indent="3"/>
      <protection/>
    </xf>
    <xf numFmtId="4" fontId="7" fillId="0" borderId="41" xfId="0" applyNumberFormat="1" applyFont="1" applyFill="1" applyBorder="1" applyAlignment="1" applyProtection="1">
      <alignment horizontal="right" vertical="center" indent="3"/>
      <protection/>
    </xf>
    <xf numFmtId="4" fontId="7" fillId="0" borderId="81" xfId="0" applyNumberFormat="1" applyFont="1" applyFill="1" applyBorder="1" applyAlignment="1" applyProtection="1">
      <alignment horizontal="right" vertical="center" indent="3"/>
      <protection/>
    </xf>
    <xf numFmtId="0" fontId="3" fillId="0" borderId="43" xfId="0" applyFont="1" applyBorder="1" applyAlignment="1" applyProtection="1">
      <alignment horizontal="right" indent="1"/>
      <protection/>
    </xf>
    <xf numFmtId="0" fontId="3" fillId="0" borderId="31" xfId="0" applyFont="1" applyBorder="1" applyAlignment="1" applyProtection="1">
      <alignment horizontal="right" indent="1"/>
      <protection/>
    </xf>
    <xf numFmtId="4" fontId="2" fillId="0" borderId="37" xfId="0" applyNumberFormat="1" applyFont="1" applyBorder="1" applyAlignment="1" applyProtection="1">
      <alignment horizontal="right" vertical="center" indent="3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 applyProtection="1">
      <alignment horizontal="center"/>
      <protection/>
    </xf>
    <xf numFmtId="4" fontId="7" fillId="0" borderId="41" xfId="0" applyNumberFormat="1" applyFont="1" applyBorder="1" applyAlignment="1" applyProtection="1">
      <alignment horizontal="right" vertical="center" indent="3"/>
      <protection/>
    </xf>
    <xf numFmtId="4" fontId="7" fillId="0" borderId="81" xfId="0" applyNumberFormat="1" applyFont="1" applyBorder="1" applyAlignment="1" applyProtection="1">
      <alignment horizontal="right" vertical="center" indent="3"/>
      <protection/>
    </xf>
    <xf numFmtId="4" fontId="7" fillId="0" borderId="61" xfId="0" applyNumberFormat="1" applyFont="1" applyFill="1" applyBorder="1" applyAlignment="1" applyProtection="1">
      <alignment horizontal="right" vertical="center" indent="3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82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left" indent="1"/>
      <protection/>
    </xf>
    <xf numFmtId="0" fontId="3" fillId="0" borderId="43" xfId="0" applyFont="1" applyFill="1" applyBorder="1" applyAlignment="1" applyProtection="1">
      <alignment horizontal="left" indent="1"/>
      <protection/>
    </xf>
    <xf numFmtId="0" fontId="3" fillId="0" borderId="40" xfId="0" applyFont="1" applyFill="1" applyBorder="1" applyAlignment="1" applyProtection="1">
      <alignment horizontal="left" indent="1"/>
      <protection/>
    </xf>
    <xf numFmtId="0" fontId="3" fillId="0" borderId="39" xfId="0" applyFont="1" applyFill="1" applyBorder="1" applyAlignment="1" applyProtection="1">
      <alignment horizontal="left" inden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</a:rPr>
              <a:t>Cirrus SR20 CG Limits</a:t>
            </a:r>
          </a:p>
        </c:rich>
      </c:tx>
      <c:layout>
        <c:manualLayout>
          <c:xMode val="factor"/>
          <c:yMode val="factor"/>
          <c:x val="0.03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67"/>
          <c:w val="0.837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'Weight &amp; Balance'!$J$22</c:f>
              <c:numCache>
                <c:ptCount val="1"/>
                <c:pt idx="0">
                  <c:v>96.5575108946424</c:v>
                </c:pt>
              </c:numCache>
            </c:numRef>
          </c:xVal>
          <c:yVal>
            <c:numRef>
              <c:f>'Weight &amp; Balance'!$E$22:$G$22</c:f>
              <c:numCache>
                <c:ptCount val="3"/>
                <c:pt idx="0">
                  <c:v>2340.6</c:v>
                </c:pt>
              </c:numCache>
            </c:numRef>
          </c:yVal>
          <c:smooth val="0"/>
        </c:ser>
        <c:ser>
          <c:idx val="1"/>
          <c:order val="1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'Weight &amp; Balance'!$J$25</c:f>
              <c:numCache>
                <c:ptCount val="1"/>
                <c:pt idx="0">
                  <c:v>96.26058540497193</c:v>
                </c:pt>
              </c:numCache>
            </c:numRef>
          </c:xVal>
          <c:yVal>
            <c:numRef>
              <c:f>'Weight &amp; Balance'!$E$25:$G$25</c:f>
              <c:numCache>
                <c:ptCount val="3"/>
                <c:pt idx="0">
                  <c:v>2244.6</c:v>
                </c:pt>
              </c:numCache>
            </c:numRef>
          </c:yVal>
          <c:smooth val="0"/>
        </c:ser>
        <c:ser>
          <c:idx val="2"/>
          <c:order val="2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SR20!$I$11:$I$18</c:f>
              <c:numCache/>
            </c:numRef>
          </c:xVal>
          <c:yVal>
            <c:numRef>
              <c:f>SR20!$H$11:$H$18</c:f>
              <c:numCache/>
            </c:numRef>
          </c:yVal>
          <c:smooth val="0"/>
        </c:ser>
        <c:axId val="21947262"/>
        <c:axId val="43034383"/>
      </c:scatterChart>
      <c:valAx>
        <c:axId val="21947262"/>
        <c:scaling>
          <c:orientation val="minMax"/>
          <c:max val="150"/>
          <c:min val="1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43034383"/>
        <c:crosses val="autoZero"/>
        <c:crossBetween val="midCat"/>
        <c:dispUnits/>
        <c:majorUnit val="1"/>
        <c:minorUnit val="1"/>
      </c:valAx>
      <c:valAx>
        <c:axId val="43034383"/>
        <c:scaling>
          <c:orientation val="minMax"/>
          <c:max val="31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21947262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94"/>
          <c:y val="0.096"/>
          <c:w val="0.481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</a:rPr>
              <a:t>Cessna 152 CG Limits</a:t>
            </a:r>
          </a:p>
        </c:rich>
      </c:tx>
      <c:layout>
        <c:manualLayout>
          <c:xMode val="factor"/>
          <c:yMode val="factor"/>
          <c:x val="0.00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755"/>
          <c:w val="0.8065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'Weight &amp; Balance'!$J$22</c:f>
              <c:numCache>
                <c:ptCount val="1"/>
                <c:pt idx="0">
                  <c:v>96.5575108946424</c:v>
                </c:pt>
              </c:numCache>
            </c:numRef>
          </c:xVal>
          <c:yVal>
            <c:numRef>
              <c:f>'Weight &amp; Balance'!$E$22:$G$22</c:f>
              <c:numCache>
                <c:ptCount val="3"/>
                <c:pt idx="0">
                  <c:v>2340.6</c:v>
                </c:pt>
              </c:numCache>
            </c:numRef>
          </c:yVal>
          <c:smooth val="0"/>
        </c:ser>
        <c:ser>
          <c:idx val="1"/>
          <c:order val="1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'Weight &amp; Balance'!$J$25</c:f>
              <c:numCache>
                <c:ptCount val="1"/>
                <c:pt idx="0">
                  <c:v>96.26058540497193</c:v>
                </c:pt>
              </c:numCache>
            </c:numRef>
          </c:xVal>
          <c:yVal>
            <c:numRef>
              <c:f>'Weight &amp; Balance'!$E$25:$G$25</c:f>
              <c:numCache>
                <c:ptCount val="3"/>
                <c:pt idx="0">
                  <c:v>2244.6</c:v>
                </c:pt>
              </c:numCache>
            </c:numRef>
          </c:yVal>
          <c:smooth val="0"/>
        </c:ser>
        <c:ser>
          <c:idx val="2"/>
          <c:order val="2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'152'!$I$13:$I$29</c:f>
              <c:numCache/>
            </c:numRef>
          </c:xVal>
          <c:yVal>
            <c:numRef>
              <c:f>'152'!$H$13:$H$29</c:f>
              <c:numCache/>
            </c:numRef>
          </c:yVal>
          <c:smooth val="0"/>
        </c:ser>
        <c:axId val="37040728"/>
        <c:axId val="30946713"/>
      </c:scatterChart>
      <c:valAx>
        <c:axId val="37040728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0946713"/>
        <c:crosses val="autoZero"/>
        <c:crossBetween val="midCat"/>
        <c:dispUnits/>
        <c:majorUnit val="1"/>
        <c:minorUnit val="0.5"/>
      </c:valAx>
      <c:valAx>
        <c:axId val="30946713"/>
        <c:scaling>
          <c:orientation val="minMax"/>
          <c:max val="175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7040728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6025"/>
          <c:y val="0.1045"/>
          <c:w val="0.497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Cessna 172SP CG Limits</a:t>
            </a:r>
          </a:p>
        </c:rich>
      </c:tx>
      <c:layout>
        <c:manualLayout>
          <c:xMode val="factor"/>
          <c:yMode val="factor"/>
          <c:x val="0.01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825"/>
          <c:w val="0.861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'Weight &amp; Balance'!$J$22</c:f>
              <c:numCache>
                <c:ptCount val="1"/>
                <c:pt idx="0">
                  <c:v>96.5575108946424</c:v>
                </c:pt>
              </c:numCache>
            </c:numRef>
          </c:xVal>
          <c:yVal>
            <c:numRef>
              <c:f>'Weight &amp; Balance'!$E$22:$G$22</c:f>
              <c:numCache>
                <c:ptCount val="3"/>
                <c:pt idx="0">
                  <c:v>2340.6</c:v>
                </c:pt>
              </c:numCache>
            </c:numRef>
          </c:yVal>
          <c:smooth val="0"/>
        </c:ser>
        <c:ser>
          <c:idx val="1"/>
          <c:order val="1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'Weight &amp; Balance'!$J$25</c:f>
              <c:numCache>
                <c:ptCount val="1"/>
                <c:pt idx="0">
                  <c:v>96.26058540497193</c:v>
                </c:pt>
              </c:numCache>
            </c:numRef>
          </c:xVal>
          <c:yVal>
            <c:numRef>
              <c:f>'Weight &amp; Balance'!$E$25:$G$25</c:f>
              <c:numCache>
                <c:ptCount val="3"/>
                <c:pt idx="0">
                  <c:v>2244.6</c:v>
                </c:pt>
              </c:numCache>
            </c:numRef>
          </c:yVal>
          <c:smooth val="0"/>
        </c:ser>
        <c:ser>
          <c:idx val="2"/>
          <c:order val="2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 S'!$J$6:$J$16</c:f>
              <c:numCache/>
            </c:numRef>
          </c:xVal>
          <c:yVal>
            <c:numRef>
              <c:f>'172 S'!$I$6:$I$16</c:f>
              <c:numCache/>
            </c:numRef>
          </c:yVal>
          <c:smooth val="0"/>
        </c:ser>
        <c:axId val="19132178"/>
        <c:axId val="16792323"/>
      </c:scatterChart>
      <c:valAx>
        <c:axId val="19132178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792323"/>
        <c:crosses val="autoZero"/>
        <c:crossBetween val="midCat"/>
        <c:dispUnits/>
        <c:majorUnit val="1"/>
        <c:minorUnit val="1"/>
      </c:valAx>
      <c:valAx>
        <c:axId val="16792323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132178"/>
        <c:crosses val="autoZero"/>
        <c:crossBetween val="midCat"/>
        <c:dispUnits/>
        <c:majorUnit val="1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39"/>
          <c:y val="0.09025"/>
          <c:w val="0.52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Cessna 172P CG Limits</a:t>
            </a:r>
          </a:p>
        </c:rich>
      </c:tx>
      <c:layout>
        <c:manualLayout>
          <c:xMode val="factor"/>
          <c:yMode val="factor"/>
          <c:x val="0.055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35"/>
          <c:w val="0.894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'Weight &amp; Balance'!$J$22</c:f>
              <c:numCache>
                <c:ptCount val="1"/>
                <c:pt idx="0">
                  <c:v>96.5575108946424</c:v>
                </c:pt>
              </c:numCache>
            </c:numRef>
          </c:xVal>
          <c:yVal>
            <c:numRef>
              <c:f>'Weight &amp; Balance'!$E$22:$G$22</c:f>
              <c:numCache>
                <c:ptCount val="3"/>
                <c:pt idx="0">
                  <c:v>2340.6</c:v>
                </c:pt>
              </c:numCache>
            </c:numRef>
          </c:yVal>
          <c:smooth val="0"/>
        </c:ser>
        <c:ser>
          <c:idx val="1"/>
          <c:order val="1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'Weight &amp; Balance'!$J$25</c:f>
              <c:numCache>
                <c:ptCount val="1"/>
                <c:pt idx="0">
                  <c:v>96.26058540497193</c:v>
                </c:pt>
              </c:numCache>
            </c:numRef>
          </c:xVal>
          <c:yVal>
            <c:numRef>
              <c:f>'Weight &amp; Balance'!$E$25:$G$25</c:f>
              <c:numCache>
                <c:ptCount val="3"/>
                <c:pt idx="0">
                  <c:v>2244.6</c:v>
                </c:pt>
              </c:numCache>
            </c:numRef>
          </c:yVal>
          <c:smooth val="0"/>
        </c:ser>
        <c:ser>
          <c:idx val="2"/>
          <c:order val="2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 P'!$J$8:$J$23</c:f>
              <c:numCache/>
            </c:numRef>
          </c:xVal>
          <c:yVal>
            <c:numRef>
              <c:f>'172 P'!$I$8:$I$23</c:f>
              <c:numCache/>
            </c:numRef>
          </c:yVal>
          <c:smooth val="0"/>
        </c:ser>
        <c:axId val="17638316"/>
        <c:axId val="65859917"/>
      </c:scatterChart>
      <c:valAx>
        <c:axId val="17638316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5859917"/>
        <c:crosses val="autoZero"/>
        <c:crossBetween val="midCat"/>
        <c:dispUnits/>
        <c:majorUnit val="1"/>
        <c:minorUnit val="1"/>
      </c:valAx>
      <c:valAx>
        <c:axId val="65859917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7638316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635"/>
          <c:y val="0.099"/>
          <c:w val="0.521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Diamond DA40 CG Limits</a:t>
            </a:r>
          </a:p>
        </c:rich>
      </c:tx>
      <c:layout>
        <c:manualLayout>
          <c:xMode val="factor"/>
          <c:yMode val="factor"/>
          <c:x val="0.029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6225"/>
          <c:w val="0.959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v>Takeoff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'Weight &amp; Balance'!$J$22</c:f>
              <c:numCache>
                <c:ptCount val="1"/>
                <c:pt idx="0">
                  <c:v>96.5575108946424</c:v>
                </c:pt>
              </c:numCache>
            </c:numRef>
          </c:xVal>
          <c:yVal>
            <c:numRef>
              <c:f>'Weight &amp; Balance'!$E$22:$G$22</c:f>
              <c:numCache>
                <c:ptCount val="3"/>
                <c:pt idx="0">
                  <c:v>2340.6</c:v>
                </c:pt>
              </c:numCache>
            </c:numRef>
          </c:yVal>
          <c:smooth val="0"/>
        </c:ser>
        <c:ser>
          <c:idx val="1"/>
          <c:order val="1"/>
          <c:tx>
            <c:v>Landing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'Weight &amp; Balance'!$J$25</c:f>
              <c:numCache>
                <c:ptCount val="1"/>
                <c:pt idx="0">
                  <c:v>96.26058540497193</c:v>
                </c:pt>
              </c:numCache>
            </c:numRef>
          </c:xVal>
          <c:yVal>
            <c:numRef>
              <c:f>'Weight &amp; Balance'!$E$25:$G$25</c:f>
              <c:numCache>
                <c:ptCount val="3"/>
                <c:pt idx="0">
                  <c:v>2244.6</c:v>
                </c:pt>
              </c:numCache>
            </c:numRef>
          </c:yVal>
          <c:smooth val="0"/>
        </c:ser>
        <c:ser>
          <c:idx val="2"/>
          <c:order val="2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'DA40'!$J$8:$J$16</c:f>
              <c:numCache/>
            </c:numRef>
          </c:xVal>
          <c:yVal>
            <c:numRef>
              <c:f>'DA40'!$I$8:$I$16</c:f>
              <c:numCache/>
            </c:numRef>
          </c:yVal>
          <c:smooth val="0"/>
        </c:ser>
        <c:axId val="63027750"/>
        <c:axId val="35811959"/>
      </c:scatterChart>
      <c:valAx>
        <c:axId val="63027750"/>
        <c:scaling>
          <c:orientation val="minMax"/>
          <c:max val="103"/>
          <c:min val="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C.G. - Inches Aft of Datum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5811959"/>
        <c:crosses val="autoZero"/>
        <c:crossBetween val="midCat"/>
        <c:dispUnits/>
        <c:majorUnit val="1"/>
        <c:minorUnit val="1"/>
      </c:valAx>
      <c:valAx>
        <c:axId val="35811959"/>
        <c:scaling>
          <c:orientation val="minMax"/>
          <c:max val="2575"/>
          <c:min val="1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Weight - Pounds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3027750"/>
        <c:crosses val="autoZero"/>
        <c:crossBetween val="midCat"/>
        <c:dispUnits/>
        <c:minorUnit val="50"/>
      </c:valAx>
      <c:spPr>
        <a:noFill/>
        <a:ln w="3175">
          <a:solidFill>
            <a:srgbClr val="003366"/>
          </a:solidFill>
          <a:prstDash val="sysDot"/>
        </a:ln>
      </c:spPr>
    </c:plotArea>
    <c:legend>
      <c:legendPos val="t"/>
      <c:layout>
        <c:manualLayout>
          <c:xMode val="edge"/>
          <c:yMode val="edge"/>
          <c:x val="0.26375"/>
          <c:y val="0.09575"/>
          <c:w val="0.4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114300</xdr:rowOff>
    </xdr:from>
    <xdr:to>
      <xdr:col>15</xdr:col>
      <xdr:colOff>190500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1238250" y="114300"/>
        <a:ext cx="69532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114300</xdr:rowOff>
    </xdr:from>
    <xdr:to>
      <xdr:col>15</xdr:col>
      <xdr:colOff>371475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771650" y="114300"/>
        <a:ext cx="66008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47625</xdr:rowOff>
    </xdr:from>
    <xdr:to>
      <xdr:col>13</xdr:col>
      <xdr:colOff>419100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247900" y="47625"/>
        <a:ext cx="5105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19050</xdr:rowOff>
    </xdr:from>
    <xdr:to>
      <xdr:col>14</xdr:col>
      <xdr:colOff>276225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200275" y="180975"/>
        <a:ext cx="5543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133350</xdr:rowOff>
    </xdr:from>
    <xdr:to>
      <xdr:col>16</xdr:col>
      <xdr:colOff>476250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62125" y="619125"/>
        <a:ext cx="6981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U59"/>
  <sheetViews>
    <sheetView showGridLines="0" tabSelected="1" zoomScale="85" zoomScaleNormal="85" workbookViewId="0" topLeftCell="A13">
      <selection activeCell="E9" sqref="E9:G9"/>
    </sheetView>
  </sheetViews>
  <sheetFormatPr defaultColWidth="9.33203125" defaultRowHeight="12.75"/>
  <cols>
    <col min="1" max="1" width="8.16015625" style="101" customWidth="1"/>
    <col min="2" max="2" width="1.83203125" style="101" customWidth="1"/>
    <col min="3" max="3" width="31.33203125" style="101" customWidth="1"/>
    <col min="4" max="4" width="9.83203125" style="101" customWidth="1"/>
    <col min="5" max="7" width="7.5" style="101" customWidth="1"/>
    <col min="8" max="8" width="2" style="101" customWidth="1"/>
    <col min="9" max="9" width="3.5" style="101" customWidth="1"/>
    <col min="10" max="10" width="17.33203125" style="101" customWidth="1"/>
    <col min="11" max="11" width="15.83203125" style="101" customWidth="1"/>
    <col min="12" max="12" width="5.83203125" style="101" customWidth="1"/>
    <col min="13" max="13" width="1.83203125" style="101" customWidth="1"/>
    <col min="14" max="14" width="8.16015625" style="101" customWidth="1"/>
    <col min="15" max="15" width="10" style="101" customWidth="1"/>
    <col min="16" max="16" width="15" style="101" bestFit="1" customWidth="1"/>
    <col min="17" max="17" width="9.33203125" style="101" customWidth="1"/>
    <col min="18" max="18" width="5.83203125" style="101" customWidth="1"/>
    <col min="19" max="16384" width="9.33203125" style="101" customWidth="1"/>
  </cols>
  <sheetData>
    <row r="1" spans="1:14" ht="13.5" thickBot="1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</row>
    <row r="2" spans="1:14" ht="13.5" thickBot="1">
      <c r="A2" s="1"/>
      <c r="B2" s="3"/>
      <c r="C2" s="4"/>
      <c r="D2" s="4"/>
      <c r="E2" s="5"/>
      <c r="F2" s="5"/>
      <c r="G2" s="4"/>
      <c r="H2" s="4"/>
      <c r="I2" s="4"/>
      <c r="J2" s="4"/>
      <c r="K2" s="4"/>
      <c r="L2" s="4"/>
      <c r="M2" s="6"/>
      <c r="N2" s="53"/>
    </row>
    <row r="3" spans="1:13" ht="15" customHeight="1" thickBot="1">
      <c r="A3" s="1"/>
      <c r="B3" s="7"/>
      <c r="C3" s="170"/>
      <c r="D3" s="171"/>
      <c r="E3" s="171"/>
      <c r="F3" s="171"/>
      <c r="G3" s="171"/>
      <c r="H3" s="171"/>
      <c r="I3" s="171"/>
      <c r="J3" s="171"/>
      <c r="K3" s="171"/>
      <c r="L3" s="172"/>
      <c r="M3" s="8"/>
    </row>
    <row r="4" spans="1:15" ht="15" customHeight="1" thickBot="1">
      <c r="A4" s="1"/>
      <c r="B4" s="7"/>
      <c r="C4" s="258">
        <f ca="1">TODAY()</f>
        <v>39971</v>
      </c>
      <c r="D4" s="259"/>
      <c r="E4" s="259"/>
      <c r="F4" s="259"/>
      <c r="G4" s="103"/>
      <c r="H4" s="103"/>
      <c r="I4" s="103"/>
      <c r="J4" s="22" t="s">
        <v>48</v>
      </c>
      <c r="K4" s="250" t="s">
        <v>116</v>
      </c>
      <c r="L4" s="251"/>
      <c r="M4" s="8"/>
      <c r="O4" s="120"/>
    </row>
    <row r="5" spans="1:16" ht="15" customHeight="1" thickBot="1">
      <c r="A5" s="1"/>
      <c r="B5" s="7"/>
      <c r="C5" s="42" t="s">
        <v>111</v>
      </c>
      <c r="D5" s="260" t="s">
        <v>100</v>
      </c>
      <c r="E5" s="261"/>
      <c r="F5" s="262"/>
      <c r="G5" s="95"/>
      <c r="H5" s="104"/>
      <c r="I5" s="104"/>
      <c r="J5" s="22" t="s">
        <v>47</v>
      </c>
      <c r="K5" s="252" t="s">
        <v>108</v>
      </c>
      <c r="L5" s="253"/>
      <c r="M5" s="8"/>
      <c r="O5" s="120"/>
      <c r="P5" s="102"/>
    </row>
    <row r="6" spans="1:16" ht="15" customHeight="1">
      <c r="A6" s="1"/>
      <c r="B6" s="7"/>
      <c r="C6" s="43"/>
      <c r="D6" s="44"/>
      <c r="E6" s="45"/>
      <c r="F6" s="45"/>
      <c r="G6" s="46"/>
      <c r="H6" s="46"/>
      <c r="I6" s="46"/>
      <c r="J6" s="44"/>
      <c r="K6" s="266"/>
      <c r="L6" s="267"/>
      <c r="M6" s="8"/>
      <c r="O6" s="120"/>
      <c r="P6" s="102"/>
    </row>
    <row r="7" spans="1:15" ht="15" customHeight="1">
      <c r="A7" s="1"/>
      <c r="B7" s="7"/>
      <c r="C7" s="263" t="s">
        <v>0</v>
      </c>
      <c r="D7" s="264"/>
      <c r="E7" s="264"/>
      <c r="F7" s="264"/>
      <c r="G7" s="264"/>
      <c r="H7" s="264"/>
      <c r="I7" s="264"/>
      <c r="J7" s="264"/>
      <c r="K7" s="264"/>
      <c r="L7" s="265"/>
      <c r="M7" s="8"/>
      <c r="O7" s="120"/>
    </row>
    <row r="8" spans="1:16" ht="16.5" customHeight="1">
      <c r="A8" s="1"/>
      <c r="B8" s="7"/>
      <c r="C8" s="160" t="s">
        <v>1</v>
      </c>
      <c r="D8" s="88"/>
      <c r="E8" s="254" t="s">
        <v>2</v>
      </c>
      <c r="F8" s="254"/>
      <c r="G8" s="255"/>
      <c r="H8" s="256" t="s">
        <v>3</v>
      </c>
      <c r="I8" s="254"/>
      <c r="J8" s="255"/>
      <c r="K8" s="256" t="s">
        <v>4</v>
      </c>
      <c r="L8" s="257"/>
      <c r="M8" s="8"/>
      <c r="O8" s="120"/>
      <c r="P8" s="102"/>
    </row>
    <row r="9" spans="1:13" ht="15.75" customHeight="1" thickBot="1">
      <c r="A9" s="1"/>
      <c r="B9" s="7"/>
      <c r="C9" s="82" t="s">
        <v>72</v>
      </c>
      <c r="D9" s="173"/>
      <c r="E9" s="277">
        <f>IF($K$4&gt;0,VLOOKUP($K$4,Data!$C$3:$R$9,3,FALSE),"")</f>
        <v>1754</v>
      </c>
      <c r="F9" s="277"/>
      <c r="G9" s="278"/>
      <c r="H9" s="274">
        <f>IF($K$4&gt;0,VLOOKUP($K$4,Data!$C$3:$R$9,4,FALSE),"")</f>
        <v>97.288</v>
      </c>
      <c r="I9" s="275"/>
      <c r="J9" s="276"/>
      <c r="K9" s="271">
        <f>IF($K$4&gt;0,VLOOKUP($K$4,Data!$C$3:$R$9,5,FALSE),"")</f>
        <v>170642.91</v>
      </c>
      <c r="L9" s="272"/>
      <c r="M9" s="8"/>
    </row>
    <row r="10" spans="1:13" ht="15" customHeight="1">
      <c r="A10" s="1"/>
      <c r="B10" s="7"/>
      <c r="C10" s="147" t="s">
        <v>82</v>
      </c>
      <c r="D10" s="180" t="s">
        <v>100</v>
      </c>
      <c r="E10" s="268">
        <f>IF($D$10&gt;0,VLOOKUP($D$10,Data!C17:D62,2,FALSE),"0")</f>
        <v>230</v>
      </c>
      <c r="F10" s="269"/>
      <c r="G10" s="270"/>
      <c r="H10" s="213">
        <f>IF($K$4&gt;0,VLOOKUP($K$4,Data!$C$3:$R$9,6,FALSE),"")</f>
        <v>90.6</v>
      </c>
      <c r="I10" s="213"/>
      <c r="J10" s="214"/>
      <c r="K10" s="222">
        <f aca="true" t="shared" si="0" ref="K10:K15">IF(E10&gt;0,H10*E10,"")</f>
        <v>20838</v>
      </c>
      <c r="L10" s="273"/>
      <c r="M10" s="8"/>
    </row>
    <row r="11" spans="1:13" ht="15" customHeight="1">
      <c r="A11" s="1"/>
      <c r="B11" s="7"/>
      <c r="C11" s="147" t="s">
        <v>83</v>
      </c>
      <c r="D11" s="181" t="s">
        <v>108</v>
      </c>
      <c r="E11" s="223">
        <v>185</v>
      </c>
      <c r="F11" s="224"/>
      <c r="G11" s="225"/>
      <c r="H11" s="213">
        <f>IF($K$4&gt;0,VLOOKUP($K$4,Data!$C$3:$R$9,6,FALSE),"")</f>
        <v>90.6</v>
      </c>
      <c r="I11" s="213"/>
      <c r="J11" s="214"/>
      <c r="K11" s="222">
        <f t="shared" si="0"/>
        <v>16761</v>
      </c>
      <c r="L11" s="273"/>
      <c r="M11" s="8"/>
    </row>
    <row r="12" spans="1:16" ht="15" customHeight="1">
      <c r="A12" s="1"/>
      <c r="B12" s="7"/>
      <c r="C12" s="148" t="s">
        <v>9</v>
      </c>
      <c r="D12" s="181">
        <v>180</v>
      </c>
      <c r="E12" s="223">
        <v>0</v>
      </c>
      <c r="F12" s="224"/>
      <c r="G12" s="225"/>
      <c r="H12" s="213">
        <f>IF($K$4&gt;0,VLOOKUP($K$4,Data!$C$3:$R$9,7,FALSE),"")</f>
        <v>128</v>
      </c>
      <c r="I12" s="213"/>
      <c r="J12" s="214"/>
      <c r="K12" s="222">
        <f t="shared" si="0"/>
      </c>
      <c r="L12" s="273"/>
      <c r="M12" s="8"/>
      <c r="O12" s="134"/>
      <c r="P12" s="106"/>
    </row>
    <row r="13" spans="1:16" ht="15" customHeight="1">
      <c r="A13" s="1"/>
      <c r="B13" s="7"/>
      <c r="C13" s="148" t="s">
        <v>8</v>
      </c>
      <c r="D13" s="181"/>
      <c r="E13" s="208" t="str">
        <f>IF($D$13&gt;0,VLOOKUP($D$13,Data!C17:D62,2,FALSE),"0")</f>
        <v>0</v>
      </c>
      <c r="F13" s="209"/>
      <c r="G13" s="210"/>
      <c r="H13" s="213">
        <f>IF($K$4&gt;0,VLOOKUP($K$4,Data!$C$3:$R$9,7,FALSE),"")</f>
        <v>128</v>
      </c>
      <c r="I13" s="213"/>
      <c r="J13" s="214"/>
      <c r="K13" s="222">
        <f t="shared" si="0"/>
        <v>0</v>
      </c>
      <c r="L13" s="273"/>
      <c r="M13" s="8"/>
      <c r="O13" s="130"/>
      <c r="P13" s="99"/>
    </row>
    <row r="14" spans="1:13" ht="15" customHeight="1">
      <c r="A14" s="1"/>
      <c r="B14" s="7"/>
      <c r="C14" s="149" t="s">
        <v>5</v>
      </c>
      <c r="D14" s="182"/>
      <c r="E14" s="208">
        <v>0</v>
      </c>
      <c r="F14" s="209"/>
      <c r="G14" s="210"/>
      <c r="H14" s="214">
        <f>IF($K$4&gt;0,VLOOKUP($K$4,Data!$C$3:$R$9,8,FALSE),"")</f>
        <v>143.7</v>
      </c>
      <c r="I14" s="222"/>
      <c r="J14" s="222"/>
      <c r="K14" s="214">
        <f t="shared" si="0"/>
      </c>
      <c r="L14" s="273"/>
      <c r="M14" s="8"/>
    </row>
    <row r="15" spans="1:17" ht="15" customHeight="1" thickBot="1">
      <c r="A15" s="1"/>
      <c r="B15" s="7"/>
      <c r="C15" s="150" t="s">
        <v>6</v>
      </c>
      <c r="D15" s="183"/>
      <c r="E15" s="244" t="str">
        <f>IF($D$15&gt;0,VLOOKUP($D$15,Data!C17:D62,2,FALSE),"0")</f>
        <v>0</v>
      </c>
      <c r="F15" s="245"/>
      <c r="G15" s="246"/>
      <c r="H15" s="214">
        <f>IF($K$4&gt;0,VLOOKUP($K$4,Data!$C$3:$R$9,9,FALSE),"")</f>
        <v>153.1</v>
      </c>
      <c r="I15" s="222"/>
      <c r="J15" s="222"/>
      <c r="K15" s="214">
        <f t="shared" si="0"/>
        <v>0</v>
      </c>
      <c r="L15" s="273"/>
      <c r="M15" s="8"/>
      <c r="O15" s="132"/>
      <c r="Q15" s="107"/>
    </row>
    <row r="16" spans="1:17" ht="15.75" customHeight="1" thickBot="1">
      <c r="A16" s="84">
        <f>IF(R35="","","a")</f>
      </c>
      <c r="B16" s="7"/>
      <c r="C16" s="73" t="s">
        <v>7</v>
      </c>
      <c r="D16" s="174"/>
      <c r="E16" s="218">
        <f>IF(K4="","",SUM(E9:G15))</f>
        <v>2169</v>
      </c>
      <c r="F16" s="219"/>
      <c r="G16" s="220"/>
      <c r="H16" s="90"/>
      <c r="I16" s="92"/>
      <c r="J16" s="74">
        <f>IF(K4="","",K16/E16)</f>
        <v>96.00825726141079</v>
      </c>
      <c r="K16" s="312">
        <f>IF(K4="","",SUM(K9:K15))</f>
        <v>208241.91</v>
      </c>
      <c r="L16" s="313"/>
      <c r="M16" s="8"/>
      <c r="O16" s="133"/>
      <c r="Q16" s="107"/>
    </row>
    <row r="17" spans="1:17" ht="18.75" customHeight="1" thickBot="1">
      <c r="A17" s="121"/>
      <c r="B17" s="7"/>
      <c r="C17" s="75"/>
      <c r="D17" s="76"/>
      <c r="E17" s="77"/>
      <c r="F17" s="77"/>
      <c r="G17" s="77"/>
      <c r="H17" s="78"/>
      <c r="I17" s="83"/>
      <c r="J17" s="79"/>
      <c r="K17" s="79"/>
      <c r="L17" s="79"/>
      <c r="M17" s="8"/>
      <c r="N17" s="81"/>
      <c r="O17" s="131"/>
      <c r="P17" s="98"/>
      <c r="Q17" s="107"/>
    </row>
    <row r="18" spans="1:16" ht="15" customHeight="1" thickBot="1">
      <c r="A18" s="122"/>
      <c r="B18" s="7"/>
      <c r="C18" s="87" t="s">
        <v>59</v>
      </c>
      <c r="D18" s="176">
        <v>30</v>
      </c>
      <c r="E18" s="211">
        <f>IF(D18="","",D18*6)</f>
        <v>180</v>
      </c>
      <c r="F18" s="211"/>
      <c r="G18" s="211"/>
      <c r="H18" s="231">
        <f>IF($K$4&gt;0,VLOOKUP($K$4,Data!$C$3:$R$9,10,FALSE),"")</f>
        <v>103.5</v>
      </c>
      <c r="I18" s="231"/>
      <c r="J18" s="231"/>
      <c r="K18" s="302">
        <f>IF(E18="","",H18*E18)</f>
        <v>18630</v>
      </c>
      <c r="L18" s="303"/>
      <c r="M18" s="8"/>
      <c r="N18" s="81"/>
      <c r="O18" s="105"/>
      <c r="P18" s="100"/>
    </row>
    <row r="19" spans="1:17" ht="19.5" thickBot="1">
      <c r="A19" s="127">
        <f>IF(O19="","","uu")</f>
      </c>
      <c r="B19" s="7"/>
      <c r="C19" s="146" t="s">
        <v>71</v>
      </c>
      <c r="D19" s="174"/>
      <c r="E19" s="212">
        <f>IF(K4="","",SUM(E16:G18))</f>
        <v>2349</v>
      </c>
      <c r="F19" s="212"/>
      <c r="G19" s="212"/>
      <c r="H19" s="90"/>
      <c r="I19" s="91"/>
      <c r="J19" s="74">
        <f>IF(K4="","",K19/E19)</f>
        <v>96.58233716475095</v>
      </c>
      <c r="K19" s="312">
        <f>IF(K4="","",SUM(K16:K18))</f>
        <v>226871.91</v>
      </c>
      <c r="L19" s="313"/>
      <c r="M19" s="8"/>
      <c r="N19" s="128">
        <f>IF(O19="","","tt")</f>
      </c>
      <c r="O19" s="108">
        <f>IF(K4="","",IF(E19&lt;=VLOOKUP($K$4,Data!$C$3:$V$9,12,FALSE),"","Caution, Exceeds Ramp Wt.by "&amp;INT(E19-VLOOKUP($K$4,Data!$C$3:$V$9,12,FALSE))))</f>
      </c>
      <c r="P19" s="109"/>
      <c r="Q19" s="53"/>
    </row>
    <row r="20" spans="1:17" ht="18.75" customHeight="1" thickBot="1">
      <c r="A20" s="123"/>
      <c r="B20" s="7"/>
      <c r="C20" s="75"/>
      <c r="D20" s="76"/>
      <c r="E20" s="77"/>
      <c r="F20" s="77"/>
      <c r="G20" s="77"/>
      <c r="H20" s="78"/>
      <c r="I20" s="83"/>
      <c r="J20" s="79"/>
      <c r="K20" s="79"/>
      <c r="L20" s="79"/>
      <c r="M20" s="8"/>
      <c r="N20" s="125"/>
      <c r="O20" s="108"/>
      <c r="P20" s="109"/>
      <c r="Q20" s="53"/>
    </row>
    <row r="21" spans="1:17" ht="18.75" thickBot="1">
      <c r="A21" s="124"/>
      <c r="B21" s="7"/>
      <c r="C21" s="87" t="s">
        <v>60</v>
      </c>
      <c r="D21" s="89">
        <f>IF(D18="","",VLOOKUP($K$4,Data!$C$3:$V$9,11,FALSE))</f>
        <v>1.4</v>
      </c>
      <c r="E21" s="211">
        <f>IF(D21="","",IF(D21&gt;0,D21*-1*6,D21*6))</f>
        <v>-8.399999999999999</v>
      </c>
      <c r="F21" s="211"/>
      <c r="G21" s="211"/>
      <c r="H21" s="231">
        <f>IF($K$4&gt;0,VLOOKUP($K$4,Data!$C$3:$R$9,10,FALSE),"")</f>
        <v>103.5</v>
      </c>
      <c r="I21" s="231"/>
      <c r="J21" s="231"/>
      <c r="K21" s="302">
        <f>IF(E21="","",H21*E21)</f>
        <v>-869.3999999999999</v>
      </c>
      <c r="L21" s="303"/>
      <c r="M21" s="8"/>
      <c r="N21" s="126"/>
      <c r="O21" s="108"/>
      <c r="P21" s="109"/>
      <c r="Q21" s="53"/>
    </row>
    <row r="22" spans="1:17" ht="20.25" thickBot="1" thickTop="1">
      <c r="A22" s="127">
        <f>IF(O22="","","uu")</f>
      </c>
      <c r="B22" s="7"/>
      <c r="C22" s="146" t="s">
        <v>98</v>
      </c>
      <c r="D22" s="177">
        <f>IF(D21="","",D18-D21)</f>
        <v>28.6</v>
      </c>
      <c r="E22" s="221">
        <f>IF(K4="","",SUM(E19:G21))</f>
        <v>2340.6</v>
      </c>
      <c r="F22" s="221"/>
      <c r="G22" s="221"/>
      <c r="H22" s="90"/>
      <c r="I22" s="91"/>
      <c r="J22" s="74">
        <f>IF(K4="","",K22/E22)</f>
        <v>96.5575108946424</v>
      </c>
      <c r="K22" s="304">
        <f>IF(K4="","",SUM(K19:K21))</f>
        <v>226002.51</v>
      </c>
      <c r="L22" s="305"/>
      <c r="M22" s="8"/>
      <c r="N22" s="128">
        <f>IF(O22="","","tt")</f>
      </c>
      <c r="O22" s="108">
        <f>IF(K4="","",IF(E22&lt;=VLOOKUP($K$4,Data!$C$3:$V$9,13,FALSE),"","Caution, Exceeds T.O. Wt. by "&amp;INT(E22-VLOOKUP($K$4,Data!$C$3:$V$9,13,FALSE))))</f>
      </c>
      <c r="P22" s="109"/>
      <c r="Q22" s="53"/>
    </row>
    <row r="23" spans="1:17" ht="18.75" thickBot="1">
      <c r="A23" s="124"/>
      <c r="B23" s="7"/>
      <c r="C23" s="75"/>
      <c r="D23" s="76"/>
      <c r="E23" s="77"/>
      <c r="F23" s="77"/>
      <c r="G23" s="77"/>
      <c r="H23" s="78"/>
      <c r="I23" s="83"/>
      <c r="J23" s="79"/>
      <c r="K23" s="79"/>
      <c r="L23" s="79"/>
      <c r="M23" s="8"/>
      <c r="N23" s="125"/>
      <c r="O23" s="108"/>
      <c r="P23" s="109"/>
      <c r="Q23" s="53"/>
    </row>
    <row r="24" spans="1:17" ht="18.75" thickBot="1">
      <c r="A24" s="124"/>
      <c r="B24" s="7"/>
      <c r="C24" s="175" t="s">
        <v>61</v>
      </c>
      <c r="D24" s="178">
        <v>16</v>
      </c>
      <c r="E24" s="226">
        <f>IF(D24="","",IF(D24&gt;0,D24*-1*6,D24*6))</f>
        <v>-96</v>
      </c>
      <c r="F24" s="227"/>
      <c r="G24" s="227"/>
      <c r="H24" s="231">
        <f>IF($K$4&gt;0,VLOOKUP($K$4,Data!$C$3:$R$9,10,FALSE),"")</f>
        <v>103.5</v>
      </c>
      <c r="I24" s="308"/>
      <c r="J24" s="231"/>
      <c r="K24" s="231">
        <f>IF(E24="","",H24*E24)</f>
        <v>-9936</v>
      </c>
      <c r="L24" s="303"/>
      <c r="M24" s="8"/>
      <c r="N24" s="126"/>
      <c r="O24" s="108"/>
      <c r="P24" s="109"/>
      <c r="Q24" s="53"/>
    </row>
    <row r="25" spans="1:17" ht="20.25" thickBot="1" thickTop="1">
      <c r="A25" s="127">
        <f>IF(O25="","","uu")</f>
      </c>
      <c r="B25" s="7"/>
      <c r="C25" s="146" t="s">
        <v>99</v>
      </c>
      <c r="D25" s="177">
        <f>IF(D24="","",D22-D24)</f>
        <v>12.600000000000001</v>
      </c>
      <c r="E25" s="228">
        <f>IF(K4="","",SUM(E22:G24))</f>
        <v>2244.6</v>
      </c>
      <c r="F25" s="229"/>
      <c r="G25" s="229"/>
      <c r="H25" s="93"/>
      <c r="I25" s="91"/>
      <c r="J25" s="94">
        <f>IF(K4="","",K25/E25)</f>
        <v>96.26058540497193</v>
      </c>
      <c r="K25" s="314">
        <f>IF(K4="","",SUM(K22:K24))</f>
        <v>216066.51</v>
      </c>
      <c r="L25" s="305"/>
      <c r="M25" s="8"/>
      <c r="N25" s="128">
        <f>IF(O25="","","tt")</f>
      </c>
      <c r="O25" s="108">
        <f>IF(K4="","",IF(E25&lt;=VLOOKUP($K$4,Data!$C$3:$V$9,14,FALSE),"","Caution, Exceeds Landing Wt."))</f>
      </c>
      <c r="P25" s="109"/>
      <c r="Q25" s="53"/>
    </row>
    <row r="26" spans="1:17" ht="18.75" customHeight="1" thickBot="1">
      <c r="A26" s="1"/>
      <c r="B26" s="7"/>
      <c r="C26" s="75"/>
      <c r="D26" s="76"/>
      <c r="E26" s="77"/>
      <c r="F26" s="77"/>
      <c r="G26" s="77"/>
      <c r="H26" s="78"/>
      <c r="I26" s="83"/>
      <c r="J26" s="79"/>
      <c r="K26" s="79"/>
      <c r="L26" s="79"/>
      <c r="M26" s="8"/>
      <c r="N26" s="110"/>
      <c r="O26" s="111"/>
      <c r="P26" s="112"/>
      <c r="Q26" s="53"/>
    </row>
    <row r="27" spans="1:17" ht="15" customHeight="1" thickBot="1">
      <c r="A27" s="1"/>
      <c r="B27" s="7"/>
      <c r="C27" s="309" t="s">
        <v>10</v>
      </c>
      <c r="D27" s="310"/>
      <c r="E27" s="310"/>
      <c r="F27" s="310"/>
      <c r="G27" s="310"/>
      <c r="H27" s="310"/>
      <c r="I27" s="310"/>
      <c r="J27" s="310"/>
      <c r="K27" s="310"/>
      <c r="L27" s="311"/>
      <c r="M27" s="8"/>
      <c r="N27" s="53"/>
      <c r="Q27" s="53"/>
    </row>
    <row r="28" spans="1:17" ht="15" customHeight="1">
      <c r="A28" s="1"/>
      <c r="B28" s="7"/>
      <c r="C28" s="179" t="s">
        <v>73</v>
      </c>
      <c r="D28" s="235"/>
      <c r="E28" s="236"/>
      <c r="F28" s="236"/>
      <c r="G28" s="237"/>
      <c r="H28" s="113"/>
      <c r="I28" s="306" t="s">
        <v>22</v>
      </c>
      <c r="J28" s="307"/>
      <c r="K28" s="96">
        <f>IF(D30="","",D31*(ABS(SIN(ABS(D30-(D36*10))*PI()/180))))</f>
        <v>5.63815572471545</v>
      </c>
      <c r="L28" s="85" t="s">
        <v>57</v>
      </c>
      <c r="M28" s="8"/>
      <c r="Q28" s="53"/>
    </row>
    <row r="29" spans="1:17" ht="15" customHeight="1">
      <c r="A29" s="1"/>
      <c r="B29" s="7"/>
      <c r="C29" s="179" t="s">
        <v>93</v>
      </c>
      <c r="D29" s="238"/>
      <c r="E29" s="239"/>
      <c r="F29" s="239"/>
      <c r="G29" s="240"/>
      <c r="H29" s="113"/>
      <c r="I29" s="306" t="s">
        <v>23</v>
      </c>
      <c r="J29" s="307"/>
      <c r="K29" s="96">
        <f>IF(D30="","",D31*(ABS(COS(ABS(D30-(D36*10))*PI()/180))))</f>
        <v>2.052120859954013</v>
      </c>
      <c r="L29" s="85" t="s">
        <v>57</v>
      </c>
      <c r="M29" s="8"/>
      <c r="N29" s="53"/>
      <c r="Q29" s="53"/>
    </row>
    <row r="30" spans="1:17" ht="15" customHeight="1">
      <c r="A30" s="1"/>
      <c r="B30" s="7"/>
      <c r="C30" s="179" t="s">
        <v>74</v>
      </c>
      <c r="D30" s="205">
        <v>100</v>
      </c>
      <c r="E30" s="206"/>
      <c r="F30" s="206"/>
      <c r="G30" s="207"/>
      <c r="H30" s="103"/>
      <c r="I30" s="230"/>
      <c r="J30" s="230"/>
      <c r="K30" s="86"/>
      <c r="L30" s="50"/>
      <c r="M30" s="8"/>
      <c r="N30" s="53"/>
      <c r="Q30" s="53"/>
    </row>
    <row r="31" spans="1:17" ht="15" customHeight="1">
      <c r="A31" s="1"/>
      <c r="B31" s="7"/>
      <c r="C31" s="179" t="s">
        <v>75</v>
      </c>
      <c r="D31" s="205">
        <v>6</v>
      </c>
      <c r="E31" s="206"/>
      <c r="F31" s="206"/>
      <c r="G31" s="207"/>
      <c r="H31" s="158"/>
      <c r="I31" s="114"/>
      <c r="J31" s="114"/>
      <c r="K31" s="86"/>
      <c r="L31" s="50"/>
      <c r="M31" s="8"/>
      <c r="N31" s="53"/>
      <c r="Q31" s="53"/>
    </row>
    <row r="32" spans="1:17" ht="15" customHeight="1">
      <c r="A32" s="1"/>
      <c r="B32" s="7"/>
      <c r="C32" s="179" t="s">
        <v>37</v>
      </c>
      <c r="D32" s="205">
        <v>10</v>
      </c>
      <c r="E32" s="206"/>
      <c r="F32" s="206"/>
      <c r="G32" s="207"/>
      <c r="H32" s="306" t="s">
        <v>24</v>
      </c>
      <c r="I32" s="306"/>
      <c r="J32" s="307"/>
      <c r="K32" s="195">
        <v>1510</v>
      </c>
      <c r="L32" s="196" t="s">
        <v>58</v>
      </c>
      <c r="M32" s="8"/>
      <c r="N32" s="53"/>
      <c r="Q32" s="53"/>
    </row>
    <row r="33" spans="1:17" ht="15" customHeight="1">
      <c r="A33" s="1"/>
      <c r="B33" s="7"/>
      <c r="C33" s="179" t="s">
        <v>11</v>
      </c>
      <c r="D33" s="205">
        <v>30</v>
      </c>
      <c r="E33" s="206"/>
      <c r="F33" s="206"/>
      <c r="G33" s="207"/>
      <c r="H33" s="158"/>
      <c r="I33" s="215"/>
      <c r="J33" s="215"/>
      <c r="K33" s="157"/>
      <c r="L33" s="159"/>
      <c r="M33" s="8"/>
      <c r="N33" s="53"/>
      <c r="Q33" s="53"/>
    </row>
    <row r="34" spans="1:18" ht="15" customHeight="1">
      <c r="A34" s="1"/>
      <c r="B34" s="7"/>
      <c r="C34" s="179" t="s">
        <v>38</v>
      </c>
      <c r="D34" s="232" t="s">
        <v>115</v>
      </c>
      <c r="E34" s="233"/>
      <c r="F34" s="233"/>
      <c r="G34" s="234"/>
      <c r="H34" s="216" t="s">
        <v>25</v>
      </c>
      <c r="I34" s="216"/>
      <c r="J34" s="217"/>
      <c r="K34" s="201">
        <f>IF(D35&gt;0,((29.92-D35)*1000)+K32,"")</f>
        <v>1430.0000000000018</v>
      </c>
      <c r="L34" s="202" t="s">
        <v>58</v>
      </c>
      <c r="M34" s="8"/>
      <c r="N34" s="115"/>
      <c r="Q34" s="53"/>
      <c r="R34" s="97"/>
    </row>
    <row r="35" spans="1:21" ht="15" customHeight="1">
      <c r="A35" s="1"/>
      <c r="B35" s="7"/>
      <c r="C35" s="179" t="s">
        <v>12</v>
      </c>
      <c r="D35" s="241">
        <v>30</v>
      </c>
      <c r="E35" s="242"/>
      <c r="F35" s="242"/>
      <c r="G35" s="243"/>
      <c r="H35" s="113"/>
      <c r="I35" s="306" t="s">
        <v>26</v>
      </c>
      <c r="J35" s="307"/>
      <c r="K35" s="203">
        <f>IF(D33&gt;0,K34+(120*(D33-(15-((2*K34)/1000)))),"")</f>
        <v>3573.200000000002</v>
      </c>
      <c r="L35" s="204" t="s">
        <v>58</v>
      </c>
      <c r="M35" s="8"/>
      <c r="N35" s="53"/>
      <c r="Q35" s="80">
        <f>IF(R35="","","b")</f>
      </c>
      <c r="R35" s="108"/>
      <c r="S35" s="109"/>
      <c r="T35" s="109"/>
      <c r="U35" s="109"/>
    </row>
    <row r="36" spans="1:14" ht="15" customHeight="1" thickBot="1">
      <c r="A36" s="1"/>
      <c r="B36" s="7"/>
      <c r="C36" s="179" t="s">
        <v>39</v>
      </c>
      <c r="D36" s="247">
        <v>3</v>
      </c>
      <c r="E36" s="248"/>
      <c r="F36" s="248"/>
      <c r="G36" s="249"/>
      <c r="H36" s="103"/>
      <c r="I36" s="230"/>
      <c r="J36" s="230"/>
      <c r="K36" s="107"/>
      <c r="L36" s="159"/>
      <c r="M36" s="8"/>
      <c r="N36" s="53"/>
    </row>
    <row r="37" spans="1:17" ht="15" customHeight="1">
      <c r="A37" s="1"/>
      <c r="B37" s="7"/>
      <c r="C37" s="294" t="s">
        <v>13</v>
      </c>
      <c r="D37" s="264"/>
      <c r="E37" s="264"/>
      <c r="F37" s="264"/>
      <c r="G37" s="264"/>
      <c r="H37" s="264"/>
      <c r="I37" s="264"/>
      <c r="J37" s="264"/>
      <c r="K37" s="265"/>
      <c r="L37" s="49"/>
      <c r="M37" s="8"/>
      <c r="N37" s="53"/>
      <c r="P37" s="116"/>
      <c r="Q37" s="117"/>
    </row>
    <row r="38" spans="1:14" ht="15" customHeight="1">
      <c r="A38" s="1"/>
      <c r="B38" s="7"/>
      <c r="C38" s="23" t="s">
        <v>27</v>
      </c>
      <c r="D38" s="297">
        <v>8249</v>
      </c>
      <c r="E38" s="298"/>
      <c r="F38" s="168" t="s">
        <v>91</v>
      </c>
      <c r="G38" s="119"/>
      <c r="H38" s="279" t="s">
        <v>87</v>
      </c>
      <c r="I38" s="280"/>
      <c r="J38" s="281"/>
      <c r="K38" s="197">
        <v>665</v>
      </c>
      <c r="L38" s="198" t="s">
        <v>58</v>
      </c>
      <c r="M38" s="8"/>
      <c r="N38" s="53"/>
    </row>
    <row r="39" spans="1:14" ht="15" customHeight="1">
      <c r="A39" s="1"/>
      <c r="B39" s="7"/>
      <c r="C39" s="23" t="s">
        <v>40</v>
      </c>
      <c r="D39" s="295">
        <f>IF($K$4&gt;0,VLOOKUP($K$4,Data!$C$3:$W$9,21,FALSE),"")</f>
        <v>59</v>
      </c>
      <c r="E39" s="296"/>
      <c r="F39" s="140" t="s">
        <v>57</v>
      </c>
      <c r="G39" s="141"/>
      <c r="H39" s="299" t="s">
        <v>88</v>
      </c>
      <c r="I39" s="300"/>
      <c r="J39" s="301"/>
      <c r="K39" s="199">
        <v>1215</v>
      </c>
      <c r="L39" s="200" t="s">
        <v>58</v>
      </c>
      <c r="M39" s="8"/>
      <c r="N39" s="53"/>
    </row>
    <row r="40" spans="1:14" ht="15" customHeight="1">
      <c r="A40" s="1"/>
      <c r="B40" s="7"/>
      <c r="C40" s="23" t="s">
        <v>14</v>
      </c>
      <c r="D40" s="282">
        <f>IF($K$4&gt;0,VLOOKUP($K$4,Data!$C$3:$W$9,17,FALSE),".")</f>
        <v>66</v>
      </c>
      <c r="E40" s="283"/>
      <c r="F40" s="118" t="s">
        <v>57</v>
      </c>
      <c r="G40" s="119"/>
      <c r="H40" s="107"/>
      <c r="I40" s="107"/>
      <c r="J40" s="107"/>
      <c r="K40" s="139"/>
      <c r="L40" s="138"/>
      <c r="M40" s="8"/>
      <c r="N40" s="53"/>
    </row>
    <row r="41" spans="1:14" ht="15" customHeight="1">
      <c r="A41" s="1"/>
      <c r="B41" s="7"/>
      <c r="C41" s="23" t="s">
        <v>15</v>
      </c>
      <c r="D41" s="282">
        <f>IF($K$4&gt;0,VLOOKUP($K$4,Data!$C$3:$W$9,18,FALSE),".")</f>
        <v>66</v>
      </c>
      <c r="E41" s="283"/>
      <c r="F41" s="118" t="s">
        <v>57</v>
      </c>
      <c r="G41" s="119"/>
      <c r="H41" s="107"/>
      <c r="I41" s="107"/>
      <c r="J41" s="107"/>
      <c r="K41" s="142"/>
      <c r="L41" s="138" t="s">
        <v>97</v>
      </c>
      <c r="M41" s="8"/>
      <c r="N41" s="53"/>
    </row>
    <row r="42" spans="1:14" ht="15" customHeight="1">
      <c r="A42" s="1"/>
      <c r="B42" s="7"/>
      <c r="C42" s="23" t="s">
        <v>16</v>
      </c>
      <c r="D42" s="287">
        <f>IF(K4="",".",IF($K$4&gt;0,VLOOKUP($K$4,Data!$C$3:$W$9,20,FALSE),".")*(SQRT((AVERAGE(E22,E25))/VLOOKUP('Weight &amp; Balance'!$K$4,Data!$C$3:$N$9,12,FALSE))))</f>
        <v>84.77853445896955</v>
      </c>
      <c r="E42" s="288"/>
      <c r="F42" s="118" t="s">
        <v>57</v>
      </c>
      <c r="G42" s="119"/>
      <c r="H42" s="279" t="s">
        <v>89</v>
      </c>
      <c r="I42" s="280"/>
      <c r="J42" s="281"/>
      <c r="K42" s="197">
        <v>570</v>
      </c>
      <c r="L42" s="198" t="s">
        <v>58</v>
      </c>
      <c r="M42" s="8"/>
      <c r="N42" s="53"/>
    </row>
    <row r="43" spans="1:14" ht="15" customHeight="1">
      <c r="A43" s="1"/>
      <c r="B43" s="7"/>
      <c r="C43" s="32" t="s">
        <v>17</v>
      </c>
      <c r="D43" s="282">
        <f>IF($K$4&gt;0,VLOOKUP($K$4,Data!$C$3:$W$9,19,FALSE),".")</f>
        <v>73</v>
      </c>
      <c r="E43" s="283"/>
      <c r="F43" s="118" t="s">
        <v>57</v>
      </c>
      <c r="G43" s="119"/>
      <c r="H43" s="279" t="s">
        <v>90</v>
      </c>
      <c r="I43" s="280"/>
      <c r="J43" s="281"/>
      <c r="K43" s="197">
        <v>1325</v>
      </c>
      <c r="L43" s="198" t="s">
        <v>58</v>
      </c>
      <c r="M43" s="8"/>
      <c r="N43" s="53"/>
    </row>
    <row r="44" spans="1:14" ht="15" customHeight="1">
      <c r="A44" s="1"/>
      <c r="B44" s="7"/>
      <c r="C44" s="284" t="s">
        <v>29</v>
      </c>
      <c r="D44" s="285"/>
      <c r="E44" s="285"/>
      <c r="F44" s="285"/>
      <c r="G44" s="285"/>
      <c r="H44" s="285"/>
      <c r="I44" s="285"/>
      <c r="J44" s="285"/>
      <c r="K44" s="285"/>
      <c r="L44" s="286"/>
      <c r="M44" s="8"/>
      <c r="N44" s="53"/>
    </row>
    <row r="45" spans="1:14" ht="15" customHeight="1">
      <c r="A45" s="1"/>
      <c r="B45" s="7"/>
      <c r="C45" s="291" t="s">
        <v>113</v>
      </c>
      <c r="D45" s="292"/>
      <c r="E45" s="292"/>
      <c r="F45" s="292"/>
      <c r="G45" s="292"/>
      <c r="H45" s="292"/>
      <c r="I45" s="292"/>
      <c r="J45" s="292"/>
      <c r="K45" s="292"/>
      <c r="L45" s="293"/>
      <c r="M45" s="8"/>
      <c r="N45" s="53"/>
    </row>
    <row r="46" spans="1:14" ht="15" customHeight="1">
      <c r="A46" s="1"/>
      <c r="B46" s="7"/>
      <c r="C46" s="291" t="s">
        <v>114</v>
      </c>
      <c r="D46" s="292"/>
      <c r="E46" s="292"/>
      <c r="F46" s="292"/>
      <c r="G46" s="292"/>
      <c r="H46" s="292"/>
      <c r="I46" s="292"/>
      <c r="J46" s="292"/>
      <c r="K46" s="292"/>
      <c r="L46" s="293"/>
      <c r="M46" s="8"/>
      <c r="N46" s="53"/>
    </row>
    <row r="47" spans="1:14" ht="15" customHeight="1">
      <c r="A47" s="1"/>
      <c r="B47" s="7"/>
      <c r="C47" s="291"/>
      <c r="D47" s="292"/>
      <c r="E47" s="292"/>
      <c r="F47" s="292"/>
      <c r="G47" s="292"/>
      <c r="H47" s="292"/>
      <c r="I47" s="292"/>
      <c r="J47" s="292"/>
      <c r="K47" s="292"/>
      <c r="L47" s="293"/>
      <c r="M47" s="8"/>
      <c r="N47" s="53"/>
    </row>
    <row r="48" spans="1:14" ht="15" customHeight="1">
      <c r="A48" s="1"/>
      <c r="B48" s="7"/>
      <c r="C48" s="291"/>
      <c r="D48" s="292"/>
      <c r="E48" s="292"/>
      <c r="F48" s="292"/>
      <c r="G48" s="292"/>
      <c r="H48" s="292"/>
      <c r="I48" s="292"/>
      <c r="J48" s="292"/>
      <c r="K48" s="292"/>
      <c r="L48" s="293"/>
      <c r="M48" s="8"/>
      <c r="N48" s="53"/>
    </row>
    <row r="49" spans="1:14" ht="15" customHeight="1">
      <c r="A49" s="1"/>
      <c r="B49" s="7"/>
      <c r="C49" s="291"/>
      <c r="D49" s="292"/>
      <c r="E49" s="292"/>
      <c r="F49" s="292"/>
      <c r="G49" s="292"/>
      <c r="H49" s="292"/>
      <c r="I49" s="292"/>
      <c r="J49" s="292"/>
      <c r="K49" s="292"/>
      <c r="L49" s="293"/>
      <c r="M49" s="8"/>
      <c r="N49" s="53"/>
    </row>
    <row r="50" spans="1:14" ht="15" customHeight="1">
      <c r="A50" s="1"/>
      <c r="B50" s="7"/>
      <c r="C50" s="289" t="s">
        <v>18</v>
      </c>
      <c r="D50" s="290"/>
      <c r="E50" s="290"/>
      <c r="F50" s="264"/>
      <c r="G50" s="264"/>
      <c r="H50" s="264"/>
      <c r="I50" s="264"/>
      <c r="J50" s="264"/>
      <c r="K50" s="264"/>
      <c r="L50" s="265"/>
      <c r="M50" s="8"/>
      <c r="N50" s="53"/>
    </row>
    <row r="51" spans="1:14" ht="15" customHeight="1">
      <c r="A51" s="1"/>
      <c r="B51" s="7"/>
      <c r="C51" s="48" t="s">
        <v>19</v>
      </c>
      <c r="D51" s="315"/>
      <c r="E51" s="315"/>
      <c r="F51" s="319" t="s">
        <v>49</v>
      </c>
      <c r="G51" s="320"/>
      <c r="H51" s="320"/>
      <c r="I51" s="320"/>
      <c r="J51" s="320"/>
      <c r="K51" s="315"/>
      <c r="L51" s="317"/>
      <c r="M51" s="8"/>
      <c r="N51" s="53"/>
    </row>
    <row r="52" spans="1:14" ht="15" customHeight="1">
      <c r="A52" s="1"/>
      <c r="B52" s="7"/>
      <c r="C52" s="48" t="s">
        <v>20</v>
      </c>
      <c r="D52" s="315"/>
      <c r="E52" s="315"/>
      <c r="F52" s="319" t="s">
        <v>28</v>
      </c>
      <c r="G52" s="320"/>
      <c r="H52" s="320"/>
      <c r="I52" s="320"/>
      <c r="J52" s="320"/>
      <c r="K52" s="315"/>
      <c r="L52" s="317"/>
      <c r="M52" s="8"/>
      <c r="N52" s="53"/>
    </row>
    <row r="53" spans="1:14" ht="15" customHeight="1" thickBot="1">
      <c r="A53" s="1"/>
      <c r="B53" s="7"/>
      <c r="C53" s="47" t="s">
        <v>21</v>
      </c>
      <c r="D53" s="316"/>
      <c r="E53" s="316"/>
      <c r="F53" s="321"/>
      <c r="G53" s="322"/>
      <c r="H53" s="322"/>
      <c r="I53" s="322"/>
      <c r="J53" s="322"/>
      <c r="K53" s="316"/>
      <c r="L53" s="318"/>
      <c r="M53" s="8"/>
      <c r="N53" s="53"/>
    </row>
    <row r="54" spans="1:14" ht="8.25" customHeight="1" thickBot="1">
      <c r="A54" s="1"/>
      <c r="B54" s="9"/>
      <c r="C54" s="10"/>
      <c r="D54" s="10"/>
      <c r="E54" s="11"/>
      <c r="F54" s="11"/>
      <c r="G54" s="10"/>
      <c r="H54" s="10"/>
      <c r="I54" s="10"/>
      <c r="J54" s="10"/>
      <c r="K54" s="10"/>
      <c r="L54" s="10"/>
      <c r="M54" s="12"/>
      <c r="N54" s="53"/>
    </row>
    <row r="55" spans="1:14" ht="15" customHeight="1">
      <c r="A55" s="1"/>
      <c r="B55" s="33"/>
      <c r="C55" s="33"/>
      <c r="D55" s="33"/>
      <c r="E55" s="13"/>
      <c r="F55" s="34"/>
      <c r="G55" s="33"/>
      <c r="H55" s="33"/>
      <c r="I55" s="33"/>
      <c r="J55" s="33"/>
      <c r="K55" s="33"/>
      <c r="L55" s="33"/>
      <c r="M55" s="1"/>
      <c r="N55" s="54"/>
    </row>
    <row r="56" spans="1:14" ht="15" customHeight="1">
      <c r="A56" s="40"/>
      <c r="B56" s="35"/>
      <c r="C56" s="1"/>
      <c r="D56" s="36"/>
      <c r="E56" s="37"/>
      <c r="F56" s="38"/>
      <c r="G56" s="39"/>
      <c r="H56" s="39"/>
      <c r="I56" s="39"/>
      <c r="J56" s="36"/>
      <c r="K56" s="37"/>
      <c r="L56" s="37"/>
      <c r="M56" s="40"/>
      <c r="N56" s="55"/>
    </row>
    <row r="57" spans="1:14" ht="15" customHeight="1">
      <c r="A57" s="40"/>
      <c r="B57" s="35"/>
      <c r="C57" s="1"/>
      <c r="D57" s="36"/>
      <c r="E57" s="133" t="s">
        <v>105</v>
      </c>
      <c r="G57" s="107"/>
      <c r="H57" s="41"/>
      <c r="I57" s="41"/>
      <c r="J57" s="36"/>
      <c r="K57" s="37"/>
      <c r="L57" s="37"/>
      <c r="M57" s="40"/>
      <c r="N57" s="55"/>
    </row>
    <row r="58" spans="5:7" ht="15.75">
      <c r="E58" s="131" t="s">
        <v>92</v>
      </c>
      <c r="F58" s="98" t="s">
        <v>106</v>
      </c>
      <c r="G58" s="107"/>
    </row>
    <row r="59" spans="5:6" ht="15.75">
      <c r="E59" s="105" t="s">
        <v>94</v>
      </c>
      <c r="F59" s="100" t="s">
        <v>107</v>
      </c>
    </row>
  </sheetData>
  <sheetProtection/>
  <mergeCells count="92">
    <mergeCell ref="D51:E51"/>
    <mergeCell ref="D52:E52"/>
    <mergeCell ref="D53:E53"/>
    <mergeCell ref="K51:L51"/>
    <mergeCell ref="K52:L52"/>
    <mergeCell ref="K53:L53"/>
    <mergeCell ref="F51:J51"/>
    <mergeCell ref="F52:J52"/>
    <mergeCell ref="F53:J53"/>
    <mergeCell ref="K12:L12"/>
    <mergeCell ref="K13:L13"/>
    <mergeCell ref="K14:L14"/>
    <mergeCell ref="C46:L46"/>
    <mergeCell ref="K15:L15"/>
    <mergeCell ref="K16:L16"/>
    <mergeCell ref="K24:L24"/>
    <mergeCell ref="K25:L25"/>
    <mergeCell ref="K18:L18"/>
    <mergeCell ref="K19:L19"/>
    <mergeCell ref="K21:L21"/>
    <mergeCell ref="K22:L22"/>
    <mergeCell ref="H32:J32"/>
    <mergeCell ref="I35:J35"/>
    <mergeCell ref="H21:J21"/>
    <mergeCell ref="H24:J24"/>
    <mergeCell ref="I30:J30"/>
    <mergeCell ref="I29:J29"/>
    <mergeCell ref="I28:J28"/>
    <mergeCell ref="C27:L27"/>
    <mergeCell ref="C37:K37"/>
    <mergeCell ref="D41:E41"/>
    <mergeCell ref="D40:E40"/>
    <mergeCell ref="D39:E39"/>
    <mergeCell ref="D38:E38"/>
    <mergeCell ref="H39:J39"/>
    <mergeCell ref="H38:J38"/>
    <mergeCell ref="H42:J42"/>
    <mergeCell ref="H43:J43"/>
    <mergeCell ref="D43:E43"/>
    <mergeCell ref="C44:L44"/>
    <mergeCell ref="D42:E42"/>
    <mergeCell ref="C50:L50"/>
    <mergeCell ref="C48:L48"/>
    <mergeCell ref="C49:L49"/>
    <mergeCell ref="C45:L45"/>
    <mergeCell ref="C47:L47"/>
    <mergeCell ref="E10:G10"/>
    <mergeCell ref="K9:L9"/>
    <mergeCell ref="K10:L10"/>
    <mergeCell ref="E11:G11"/>
    <mergeCell ref="K11:L11"/>
    <mergeCell ref="H9:J9"/>
    <mergeCell ref="E9:G9"/>
    <mergeCell ref="H11:J11"/>
    <mergeCell ref="H10:J10"/>
    <mergeCell ref="H13:J13"/>
    <mergeCell ref="K4:L4"/>
    <mergeCell ref="K5:L5"/>
    <mergeCell ref="E8:G8"/>
    <mergeCell ref="K8:L8"/>
    <mergeCell ref="C4:F4"/>
    <mergeCell ref="H8:J8"/>
    <mergeCell ref="D5:F5"/>
    <mergeCell ref="C7:L7"/>
    <mergeCell ref="K6:L6"/>
    <mergeCell ref="I36:J36"/>
    <mergeCell ref="H18:J18"/>
    <mergeCell ref="H14:J14"/>
    <mergeCell ref="D34:G34"/>
    <mergeCell ref="D28:G28"/>
    <mergeCell ref="D29:G29"/>
    <mergeCell ref="D35:G35"/>
    <mergeCell ref="E15:G15"/>
    <mergeCell ref="D36:G36"/>
    <mergeCell ref="D31:G31"/>
    <mergeCell ref="H12:J12"/>
    <mergeCell ref="I33:J33"/>
    <mergeCell ref="H34:J34"/>
    <mergeCell ref="E16:G16"/>
    <mergeCell ref="E14:G14"/>
    <mergeCell ref="E22:G22"/>
    <mergeCell ref="H15:J15"/>
    <mergeCell ref="E12:G12"/>
    <mergeCell ref="E24:G24"/>
    <mergeCell ref="E25:G25"/>
    <mergeCell ref="D30:G30"/>
    <mergeCell ref="D32:G32"/>
    <mergeCell ref="D33:G33"/>
    <mergeCell ref="E13:G13"/>
    <mergeCell ref="E18:G18"/>
    <mergeCell ref="E19:G19"/>
    <mergeCell ref="E21:G21"/>
  </mergeCells>
  <printOptions horizontalCentered="1"/>
  <pageMargins left="0.5" right="0.5" top="0.5" bottom="0.5" header="0.5" footer="0.5"/>
  <pageSetup fitToHeight="1" fitToWidth="1" horizontalDpi="300" verticalDpi="300" orientation="portrait" scale="77" r:id="rId1"/>
  <ignoredErrors>
    <ignoredError sqref="E13 D39 E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H10:I18"/>
  <sheetViews>
    <sheetView showGridLines="0" showRowColHeaders="0" zoomScalePageLayoutView="0" workbookViewId="0" topLeftCell="A1">
      <selection activeCell="A1" sqref="A1"/>
    </sheetView>
  </sheetViews>
  <sheetFormatPr defaultColWidth="9.33203125" defaultRowHeight="12.75"/>
  <sheetData>
    <row r="10" spans="8:9" ht="12.75">
      <c r="H10" s="135" t="s">
        <v>95</v>
      </c>
      <c r="I10" s="135" t="s">
        <v>96</v>
      </c>
    </row>
    <row r="11" spans="8:9" ht="12.75">
      <c r="H11" s="136">
        <v>2110</v>
      </c>
      <c r="I11" s="137">
        <v>138.85</v>
      </c>
    </row>
    <row r="12" spans="8:9" ht="12.75">
      <c r="H12" s="136">
        <v>2694</v>
      </c>
      <c r="I12" s="137">
        <v>141</v>
      </c>
    </row>
    <row r="13" spans="8:9" ht="12.75">
      <c r="H13" s="136">
        <v>3000</v>
      </c>
      <c r="I13" s="137">
        <v>144.15</v>
      </c>
    </row>
    <row r="14" spans="8:9" ht="12.75">
      <c r="H14" s="136">
        <v>3000</v>
      </c>
      <c r="I14" s="137">
        <v>148</v>
      </c>
    </row>
    <row r="15" spans="8:9" ht="12.75">
      <c r="H15" s="136">
        <v>2850</v>
      </c>
      <c r="I15" s="137">
        <v>148.12</v>
      </c>
    </row>
    <row r="16" spans="8:9" ht="12.75">
      <c r="H16" s="136">
        <v>2585</v>
      </c>
      <c r="I16" s="137">
        <v>147.5</v>
      </c>
    </row>
    <row r="17" spans="8:9" ht="12.75">
      <c r="H17" s="136">
        <v>2110</v>
      </c>
      <c r="I17" s="137">
        <v>144.6</v>
      </c>
    </row>
    <row r="18" spans="8:9" ht="12.75">
      <c r="H18" s="136">
        <v>2110</v>
      </c>
      <c r="I18" s="137">
        <v>138.85</v>
      </c>
    </row>
  </sheetData>
  <sheetProtection selectLockedCells="1" selectUnlockedCells="1"/>
  <printOptions horizontalCentered="1"/>
  <pageMargins left="0.5" right="0.5" top="0.5" bottom="1" header="0.5" footer="0.5"/>
  <pageSetup fitToHeight="1" fitToWidth="1" horizontalDpi="600" verticalDpi="600" orientation="portrait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H12:I29"/>
  <sheetViews>
    <sheetView showGridLines="0" showRowColHeaders="0" zoomScalePageLayoutView="0" workbookViewId="0" topLeftCell="A1">
      <selection activeCell="C36" sqref="C36"/>
    </sheetView>
  </sheetViews>
  <sheetFormatPr defaultColWidth="9.33203125" defaultRowHeight="12.75"/>
  <sheetData>
    <row r="12" spans="8:9" ht="12.75">
      <c r="H12" s="135" t="s">
        <v>95</v>
      </c>
      <c r="I12" s="135" t="s">
        <v>96</v>
      </c>
    </row>
    <row r="13" spans="8:9" ht="12.75">
      <c r="H13" s="143">
        <v>1000</v>
      </c>
      <c r="I13" s="144">
        <v>31</v>
      </c>
    </row>
    <row r="14" spans="8:9" ht="12.75">
      <c r="H14" s="143">
        <v>1000</v>
      </c>
      <c r="I14" s="144">
        <v>36.5</v>
      </c>
    </row>
    <row r="15" spans="8:9" ht="12.75">
      <c r="H15" s="143">
        <v>1675</v>
      </c>
      <c r="I15" s="144">
        <v>36.5</v>
      </c>
    </row>
    <row r="16" spans="8:9" ht="12.75">
      <c r="H16" s="143">
        <v>1675</v>
      </c>
      <c r="I16" s="144">
        <v>32.62</v>
      </c>
    </row>
    <row r="17" spans="8:9" ht="12.75">
      <c r="H17" s="143">
        <v>1350</v>
      </c>
      <c r="I17" s="144">
        <v>31</v>
      </c>
    </row>
    <row r="18" spans="8:9" ht="12.75">
      <c r="H18" s="143">
        <v>1000</v>
      </c>
      <c r="I18" s="144">
        <v>31</v>
      </c>
    </row>
    <row r="19" spans="8:9" ht="12.75">
      <c r="H19" s="143"/>
      <c r="I19" s="144"/>
    </row>
    <row r="20" spans="8:9" ht="12.75">
      <c r="H20" s="143"/>
      <c r="I20" s="144"/>
    </row>
    <row r="21" spans="8:9" ht="12.75">
      <c r="H21" s="145"/>
      <c r="I21" s="145"/>
    </row>
    <row r="22" spans="8:9" ht="12.75">
      <c r="H22" s="145"/>
      <c r="I22" s="145"/>
    </row>
    <row r="23" spans="8:9" ht="12.75">
      <c r="H23" s="145"/>
      <c r="I23" s="145"/>
    </row>
    <row r="24" spans="8:9" ht="12.75">
      <c r="H24" s="145"/>
      <c r="I24" s="145"/>
    </row>
    <row r="25" spans="8:9" ht="12.75">
      <c r="H25" s="145"/>
      <c r="I25" s="145"/>
    </row>
    <row r="26" spans="8:9" ht="12.75">
      <c r="H26" s="145"/>
      <c r="I26" s="145"/>
    </row>
    <row r="27" spans="8:9" ht="12.75">
      <c r="H27" s="145"/>
      <c r="I27" s="145"/>
    </row>
    <row r="28" spans="8:9" ht="12.75">
      <c r="H28" s="145"/>
      <c r="I28" s="145"/>
    </row>
    <row r="29" spans="8:9" ht="12.75">
      <c r="H29" s="145"/>
      <c r="I29" s="145"/>
    </row>
  </sheetData>
  <sheetProtection selectLockedCells="1" selectUnlockedCells="1"/>
  <printOptions horizontalCentered="1"/>
  <pageMargins left="0.5" right="0.5" top="0.5" bottom="1" header="0.5" footer="0.5"/>
  <pageSetup fitToHeight="1" fitToWidth="1"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I5:J16"/>
  <sheetViews>
    <sheetView showGridLines="0" showRowColHeaders="0" zoomScalePageLayoutView="0" workbookViewId="0" topLeftCell="A1">
      <selection activeCell="A1" sqref="A1"/>
    </sheetView>
  </sheetViews>
  <sheetFormatPr defaultColWidth="9.33203125" defaultRowHeight="12.75"/>
  <sheetData>
    <row r="5" spans="9:10" ht="12.75">
      <c r="I5" s="135" t="s">
        <v>95</v>
      </c>
      <c r="J5" s="135" t="s">
        <v>96</v>
      </c>
    </row>
    <row r="6" spans="9:10" ht="12.75">
      <c r="I6" s="143">
        <v>1500</v>
      </c>
      <c r="J6" s="144">
        <v>40.5</v>
      </c>
    </row>
    <row r="7" spans="9:10" ht="12.75">
      <c r="I7" s="143">
        <v>1500</v>
      </c>
      <c r="J7" s="144">
        <v>47.25</v>
      </c>
    </row>
    <row r="8" spans="9:10" ht="12.75">
      <c r="I8" s="143">
        <v>2550</v>
      </c>
      <c r="J8" s="144">
        <v>47.25</v>
      </c>
    </row>
    <row r="9" spans="9:10" ht="12.75">
      <c r="I9" s="143">
        <v>2550</v>
      </c>
      <c r="J9" s="144">
        <v>41</v>
      </c>
    </row>
    <row r="10" spans="9:10" ht="12.75">
      <c r="I10" s="143">
        <v>1950</v>
      </c>
      <c r="J10" s="144">
        <v>35</v>
      </c>
    </row>
    <row r="11" spans="9:10" ht="12.75">
      <c r="I11" s="143">
        <v>1500</v>
      </c>
      <c r="J11" s="144">
        <v>35</v>
      </c>
    </row>
    <row r="12" spans="9:10" ht="12.75">
      <c r="I12" s="143">
        <v>1500</v>
      </c>
      <c r="J12" s="144">
        <v>40.5</v>
      </c>
    </row>
    <row r="13" spans="9:10" ht="12.75">
      <c r="I13" s="143">
        <v>2200</v>
      </c>
      <c r="J13" s="144">
        <v>40.5</v>
      </c>
    </row>
    <row r="14" spans="9:10" ht="12.75">
      <c r="I14" s="143">
        <v>2200</v>
      </c>
      <c r="J14" s="144">
        <v>37.5</v>
      </c>
    </row>
    <row r="15" spans="9:10" ht="12.75">
      <c r="I15" s="143"/>
      <c r="J15" s="144"/>
    </row>
    <row r="16" spans="9:10" ht="12.75">
      <c r="I16" s="143"/>
      <c r="J16" s="144"/>
    </row>
  </sheetData>
  <sheetProtection selectLockedCells="1" selectUnlockedCells="1"/>
  <printOptions horizontalCentered="1"/>
  <pageMargins left="0.5" right="0.5" top="0.5" bottom="1" header="0.5" footer="0.5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E1:O36"/>
  <sheetViews>
    <sheetView showGridLines="0" showRowColHeaders="0" zoomScalePageLayoutView="0" workbookViewId="0" topLeftCell="A1">
      <selection activeCell="A1" sqref="A1"/>
    </sheetView>
  </sheetViews>
  <sheetFormatPr defaultColWidth="9.33203125" defaultRowHeight="12.75"/>
  <sheetData>
    <row r="1" spans="5:15" ht="12.75"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5:15" ht="12.75"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5:15" ht="12.75"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5:15" ht="12.7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5:15" ht="12.75"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5:15" ht="12.75"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5:15" ht="12.75">
      <c r="E7" s="151"/>
      <c r="F7" s="151"/>
      <c r="G7" s="151"/>
      <c r="H7" s="151"/>
      <c r="I7" s="152" t="s">
        <v>95</v>
      </c>
      <c r="J7" s="152" t="s">
        <v>96</v>
      </c>
      <c r="K7" s="151"/>
      <c r="L7" s="151"/>
      <c r="M7" s="151"/>
      <c r="N7" s="151"/>
      <c r="O7" s="151"/>
    </row>
    <row r="8" spans="5:15" ht="12.75">
      <c r="E8" s="151"/>
      <c r="F8" s="151"/>
      <c r="G8" s="151"/>
      <c r="H8" s="151"/>
      <c r="I8" s="153">
        <v>1500</v>
      </c>
      <c r="J8" s="154">
        <v>40.5</v>
      </c>
      <c r="K8" s="151"/>
      <c r="L8" s="151"/>
      <c r="M8" s="151"/>
      <c r="N8" s="151"/>
      <c r="O8" s="151"/>
    </row>
    <row r="9" spans="5:15" ht="12.75">
      <c r="E9" s="151"/>
      <c r="F9" s="151"/>
      <c r="G9" s="151"/>
      <c r="H9" s="151"/>
      <c r="I9" s="153">
        <v>1500</v>
      </c>
      <c r="J9" s="154">
        <v>47.25</v>
      </c>
      <c r="K9" s="151"/>
      <c r="L9" s="151"/>
      <c r="M9" s="151"/>
      <c r="N9" s="151"/>
      <c r="O9" s="151"/>
    </row>
    <row r="10" spans="5:15" ht="12.75">
      <c r="E10" s="151"/>
      <c r="F10" s="151"/>
      <c r="G10" s="151"/>
      <c r="H10" s="151"/>
      <c r="I10" s="153">
        <v>2400</v>
      </c>
      <c r="J10" s="154">
        <v>47.25</v>
      </c>
      <c r="K10" s="151"/>
      <c r="L10" s="151"/>
      <c r="M10" s="151"/>
      <c r="N10" s="151"/>
      <c r="O10" s="151"/>
    </row>
    <row r="11" spans="5:15" ht="12.75">
      <c r="E11" s="151"/>
      <c r="F11" s="151"/>
      <c r="G11" s="151"/>
      <c r="H11" s="151"/>
      <c r="I11" s="153">
        <v>2400</v>
      </c>
      <c r="J11" s="154">
        <v>39.5</v>
      </c>
      <c r="K11" s="151"/>
      <c r="L11" s="151"/>
      <c r="M11" s="151"/>
      <c r="N11" s="151"/>
      <c r="O11" s="151"/>
    </row>
    <row r="12" spans="5:15" ht="12.75">
      <c r="E12" s="151"/>
      <c r="F12" s="151"/>
      <c r="G12" s="151"/>
      <c r="H12" s="151"/>
      <c r="I12" s="153">
        <v>1950</v>
      </c>
      <c r="J12" s="154">
        <v>35</v>
      </c>
      <c r="K12" s="151"/>
      <c r="L12" s="151"/>
      <c r="M12" s="151"/>
      <c r="N12" s="151"/>
      <c r="O12" s="151"/>
    </row>
    <row r="13" spans="5:15" ht="12.75">
      <c r="E13" s="151"/>
      <c r="F13" s="151"/>
      <c r="G13" s="151"/>
      <c r="H13" s="151"/>
      <c r="I13" s="153">
        <v>1500</v>
      </c>
      <c r="J13" s="154">
        <v>35</v>
      </c>
      <c r="K13" s="151"/>
      <c r="L13" s="151"/>
      <c r="M13" s="151"/>
      <c r="N13" s="151"/>
      <c r="O13" s="151"/>
    </row>
    <row r="14" spans="5:15" ht="12.75">
      <c r="E14" s="151"/>
      <c r="F14" s="151"/>
      <c r="G14" s="151"/>
      <c r="H14" s="151"/>
      <c r="I14" s="153">
        <v>1500</v>
      </c>
      <c r="J14" s="154">
        <v>40.5</v>
      </c>
      <c r="K14" s="151"/>
      <c r="L14" s="151"/>
      <c r="M14" s="151"/>
      <c r="N14" s="151"/>
      <c r="O14" s="151"/>
    </row>
    <row r="15" spans="5:15" ht="12.75">
      <c r="E15" s="151"/>
      <c r="F15" s="151"/>
      <c r="G15" s="151"/>
      <c r="H15" s="151"/>
      <c r="I15" s="153">
        <v>2100</v>
      </c>
      <c r="J15" s="154">
        <v>40.5</v>
      </c>
      <c r="K15" s="151"/>
      <c r="L15" s="151"/>
      <c r="M15" s="151"/>
      <c r="N15" s="151"/>
      <c r="O15" s="151"/>
    </row>
    <row r="16" spans="5:15" ht="12.75">
      <c r="E16" s="151"/>
      <c r="F16" s="151"/>
      <c r="G16" s="151"/>
      <c r="H16" s="151"/>
      <c r="I16" s="155">
        <v>2100</v>
      </c>
      <c r="J16" s="156">
        <v>36.5</v>
      </c>
      <c r="K16" s="151"/>
      <c r="L16" s="151"/>
      <c r="M16" s="151"/>
      <c r="N16" s="151"/>
      <c r="O16" s="151"/>
    </row>
    <row r="17" spans="5:15" ht="12.75">
      <c r="E17" s="151"/>
      <c r="F17" s="151"/>
      <c r="G17" s="151"/>
      <c r="H17" s="151"/>
      <c r="I17" s="156"/>
      <c r="J17" s="156"/>
      <c r="K17" s="151"/>
      <c r="L17" s="151"/>
      <c r="M17" s="151"/>
      <c r="N17" s="151"/>
      <c r="O17" s="151"/>
    </row>
    <row r="18" spans="5:15" ht="12.75">
      <c r="E18" s="151"/>
      <c r="F18" s="151"/>
      <c r="G18" s="151"/>
      <c r="H18" s="151"/>
      <c r="I18" s="156"/>
      <c r="J18" s="156"/>
      <c r="K18" s="151"/>
      <c r="L18" s="151"/>
      <c r="M18" s="151"/>
      <c r="N18" s="151"/>
      <c r="O18" s="151"/>
    </row>
    <row r="19" spans="5:15" ht="12.75">
      <c r="E19" s="151"/>
      <c r="F19" s="151"/>
      <c r="G19" s="151"/>
      <c r="H19" s="151"/>
      <c r="I19" s="156"/>
      <c r="J19" s="156"/>
      <c r="K19" s="151"/>
      <c r="L19" s="151"/>
      <c r="M19" s="151"/>
      <c r="N19" s="151"/>
      <c r="O19" s="151"/>
    </row>
    <row r="20" spans="5:15" ht="12.75">
      <c r="E20" s="151"/>
      <c r="F20" s="151"/>
      <c r="G20" s="151"/>
      <c r="H20" s="151"/>
      <c r="I20" s="156"/>
      <c r="J20" s="156"/>
      <c r="K20" s="151"/>
      <c r="L20" s="151"/>
      <c r="M20" s="151"/>
      <c r="N20" s="151"/>
      <c r="O20" s="151"/>
    </row>
    <row r="21" spans="5:15" ht="12.75">
      <c r="E21" s="151"/>
      <c r="F21" s="151"/>
      <c r="G21" s="151"/>
      <c r="H21" s="151"/>
      <c r="I21" s="156"/>
      <c r="J21" s="156"/>
      <c r="K21" s="151"/>
      <c r="L21" s="151"/>
      <c r="M21" s="151"/>
      <c r="N21" s="151"/>
      <c r="O21" s="151"/>
    </row>
    <row r="22" spans="5:15" ht="12.75">
      <c r="E22" s="151"/>
      <c r="F22" s="151"/>
      <c r="G22" s="151"/>
      <c r="H22" s="151"/>
      <c r="I22" s="156"/>
      <c r="J22" s="156"/>
      <c r="K22" s="151"/>
      <c r="L22" s="151"/>
      <c r="M22" s="151"/>
      <c r="N22" s="151"/>
      <c r="O22" s="151"/>
    </row>
    <row r="23" spans="5:15" ht="12.75">
      <c r="E23" s="151"/>
      <c r="F23" s="151"/>
      <c r="G23" s="151"/>
      <c r="H23" s="151"/>
      <c r="I23" s="156"/>
      <c r="J23" s="156"/>
      <c r="K23" s="151"/>
      <c r="L23" s="151"/>
      <c r="M23" s="151"/>
      <c r="N23" s="151"/>
      <c r="O23" s="151"/>
    </row>
    <row r="24" spans="5:15" ht="12.75"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5:15" ht="12.75"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5:15" ht="12.75"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5:15" ht="12.75"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5:15" ht="12.75"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5:15" ht="12.75"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5:15" ht="12.75"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  <row r="31" spans="5:15" ht="12.75"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5:15" ht="12.75"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5:15" ht="12.75"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5:15" ht="12.75"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5:15" ht="12.75"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5:15" ht="12.75"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</row>
  </sheetData>
  <sheetProtection selectLockedCells="1" selectUnlockedCells="1"/>
  <printOptions horizontalCentered="1"/>
  <pageMargins left="0.5" right="0.5" top="0.5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E1:O36"/>
  <sheetViews>
    <sheetView showGridLines="0" workbookViewId="0" topLeftCell="C4">
      <selection activeCell="L42" sqref="L42"/>
    </sheetView>
  </sheetViews>
  <sheetFormatPr defaultColWidth="9.33203125" defaultRowHeight="12.75"/>
  <cols>
    <col min="5" max="5" width="0" style="0" hidden="1" customWidth="1"/>
    <col min="6" max="6" width="6.33203125" style="0" hidden="1" customWidth="1"/>
    <col min="8" max="8" width="5" style="0" customWidth="1"/>
    <col min="15" max="15" width="27.66015625" style="0" customWidth="1"/>
  </cols>
  <sheetData>
    <row r="1" spans="5:15" ht="12.75"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5:15" ht="12.75"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5:15" ht="12.75"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5:15" ht="12.7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5:15" ht="12.75"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5:15" ht="12.75"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5:15" ht="12.75">
      <c r="E7" s="151"/>
      <c r="F7" s="151"/>
      <c r="G7" s="151"/>
      <c r="H7" s="151"/>
      <c r="I7" s="152" t="s">
        <v>95</v>
      </c>
      <c r="J7" s="152" t="s">
        <v>96</v>
      </c>
      <c r="K7" s="151"/>
      <c r="L7" s="151"/>
      <c r="M7" s="151"/>
      <c r="N7" s="151"/>
      <c r="O7" s="151"/>
    </row>
    <row r="8" spans="5:15" ht="12.75">
      <c r="E8" s="151"/>
      <c r="F8" s="151"/>
      <c r="G8" s="151"/>
      <c r="H8" s="151">
        <v>1</v>
      </c>
      <c r="I8" s="153">
        <v>2161</v>
      </c>
      <c r="J8" s="154">
        <v>94.5</v>
      </c>
      <c r="K8" s="151"/>
      <c r="L8" s="151"/>
      <c r="M8" s="151"/>
      <c r="N8" s="151"/>
      <c r="O8" s="151"/>
    </row>
    <row r="9" spans="5:15" ht="12.75">
      <c r="E9" s="151"/>
      <c r="F9" s="151"/>
      <c r="G9" s="151"/>
      <c r="H9" s="151">
        <v>2</v>
      </c>
      <c r="I9" s="153">
        <v>2161</v>
      </c>
      <c r="J9" s="154">
        <v>102</v>
      </c>
      <c r="K9" s="151"/>
      <c r="L9" s="151"/>
      <c r="M9" s="151"/>
      <c r="N9" s="151"/>
      <c r="O9" s="151"/>
    </row>
    <row r="10" spans="5:15" ht="12.75">
      <c r="E10" s="151"/>
      <c r="F10" s="151"/>
      <c r="G10" s="151"/>
      <c r="H10" s="151">
        <v>3</v>
      </c>
      <c r="I10" s="153">
        <v>1720</v>
      </c>
      <c r="J10" s="154">
        <v>102</v>
      </c>
      <c r="K10" s="151"/>
      <c r="L10" s="151"/>
      <c r="M10" s="151"/>
      <c r="N10" s="151"/>
      <c r="O10" s="151"/>
    </row>
    <row r="11" spans="5:15" ht="12.75">
      <c r="E11" s="151"/>
      <c r="F11" s="151"/>
      <c r="G11" s="151"/>
      <c r="H11" s="167">
        <v>4</v>
      </c>
      <c r="I11" s="153">
        <v>1720</v>
      </c>
      <c r="J11" s="154">
        <v>94.5</v>
      </c>
      <c r="K11" s="151"/>
      <c r="L11" s="151"/>
      <c r="M11" s="151"/>
      <c r="N11" s="151"/>
      <c r="O11" s="151"/>
    </row>
    <row r="12" spans="5:15" ht="12.75">
      <c r="E12" s="151"/>
      <c r="F12" s="151"/>
      <c r="G12" s="151"/>
      <c r="H12" s="167">
        <v>5</v>
      </c>
      <c r="I12" s="153">
        <v>2161</v>
      </c>
      <c r="J12" s="154">
        <v>94.5</v>
      </c>
      <c r="K12" s="151"/>
      <c r="L12" s="151"/>
      <c r="M12" s="151"/>
      <c r="N12" s="151"/>
      <c r="O12" s="151"/>
    </row>
    <row r="13" spans="5:15" ht="12.75">
      <c r="E13" s="151"/>
      <c r="F13" s="151"/>
      <c r="G13" s="151"/>
      <c r="H13" s="167">
        <v>6</v>
      </c>
      <c r="I13" s="153">
        <v>2535</v>
      </c>
      <c r="J13" s="154">
        <v>96.9</v>
      </c>
      <c r="K13" s="151"/>
      <c r="L13" s="151"/>
      <c r="M13" s="151"/>
      <c r="N13" s="151"/>
      <c r="O13" s="151"/>
    </row>
    <row r="14" spans="5:15" ht="12.75">
      <c r="E14" s="151"/>
      <c r="F14" s="151"/>
      <c r="G14" s="151"/>
      <c r="H14" s="167">
        <v>7</v>
      </c>
      <c r="I14" s="153">
        <v>2535</v>
      </c>
      <c r="J14" s="154">
        <v>102</v>
      </c>
      <c r="K14" s="151"/>
      <c r="L14" s="151"/>
      <c r="M14" s="151"/>
      <c r="N14" s="151"/>
      <c r="O14" s="151"/>
    </row>
    <row r="15" spans="5:15" ht="12.75">
      <c r="E15" s="151"/>
      <c r="F15" s="151"/>
      <c r="G15" s="151"/>
      <c r="H15" s="167">
        <v>8</v>
      </c>
      <c r="I15" s="153">
        <v>2161</v>
      </c>
      <c r="J15" s="154">
        <v>102</v>
      </c>
      <c r="K15" s="151"/>
      <c r="L15" s="151"/>
      <c r="M15" s="151"/>
      <c r="N15" s="151"/>
      <c r="O15" s="151"/>
    </row>
    <row r="16" spans="5:15" ht="12.75">
      <c r="E16" s="151"/>
      <c r="F16" s="151"/>
      <c r="G16" s="151"/>
      <c r="H16" s="151"/>
      <c r="I16" s="155"/>
      <c r="J16" s="156"/>
      <c r="K16" s="151"/>
      <c r="L16" s="151"/>
      <c r="M16" s="151"/>
      <c r="N16" s="151"/>
      <c r="O16" s="151"/>
    </row>
    <row r="17" spans="5:15" ht="12.75">
      <c r="E17" s="151"/>
      <c r="F17" s="151"/>
      <c r="G17" s="151"/>
      <c r="H17" s="151"/>
      <c r="I17" s="156"/>
      <c r="J17" s="156"/>
      <c r="K17" s="151"/>
      <c r="L17" s="151"/>
      <c r="M17" s="151"/>
      <c r="N17" s="151"/>
      <c r="O17" s="151"/>
    </row>
    <row r="18" spans="5:15" ht="12.75">
      <c r="E18" s="151"/>
      <c r="F18" s="151"/>
      <c r="G18" s="151"/>
      <c r="H18" s="151"/>
      <c r="I18" s="156"/>
      <c r="J18" s="156"/>
      <c r="K18" s="151"/>
      <c r="L18" s="151"/>
      <c r="M18" s="151"/>
      <c r="N18" s="151"/>
      <c r="O18" s="151"/>
    </row>
    <row r="19" spans="5:15" ht="12.75">
      <c r="E19" s="151"/>
      <c r="F19" s="151"/>
      <c r="G19" s="151"/>
      <c r="H19" s="151"/>
      <c r="I19" s="156"/>
      <c r="J19" s="156"/>
      <c r="K19" s="151"/>
      <c r="L19" s="151"/>
      <c r="M19" s="151"/>
      <c r="N19" s="151"/>
      <c r="O19" s="151"/>
    </row>
    <row r="20" spans="5:15" ht="12.75">
      <c r="E20" s="151"/>
      <c r="F20" s="151"/>
      <c r="G20" s="151"/>
      <c r="H20" s="151"/>
      <c r="I20" s="156"/>
      <c r="J20" s="156"/>
      <c r="K20" s="151"/>
      <c r="L20" s="151"/>
      <c r="M20" s="151"/>
      <c r="N20" s="151"/>
      <c r="O20" s="151"/>
    </row>
    <row r="21" spans="5:15" ht="12.75">
      <c r="E21" s="151"/>
      <c r="F21" s="151"/>
      <c r="G21" s="151"/>
      <c r="H21" s="151"/>
      <c r="I21" s="156"/>
      <c r="J21" s="156"/>
      <c r="K21" s="151"/>
      <c r="L21" s="151"/>
      <c r="M21" s="151"/>
      <c r="N21" s="151"/>
      <c r="O21" s="151"/>
    </row>
    <row r="22" spans="5:15" ht="12.75">
      <c r="E22" s="151"/>
      <c r="F22" s="151"/>
      <c r="G22" s="151"/>
      <c r="H22" s="151"/>
      <c r="I22" s="156"/>
      <c r="J22" s="156"/>
      <c r="K22" s="151"/>
      <c r="L22" s="151"/>
      <c r="M22" s="151"/>
      <c r="N22" s="151"/>
      <c r="O22" s="151"/>
    </row>
    <row r="23" spans="5:15" ht="12.75">
      <c r="E23" s="151"/>
      <c r="F23" s="151"/>
      <c r="G23" s="151"/>
      <c r="H23" s="151"/>
      <c r="I23" s="156"/>
      <c r="J23" s="156"/>
      <c r="K23" s="151"/>
      <c r="L23" s="151"/>
      <c r="M23" s="151"/>
      <c r="N23" s="151"/>
      <c r="O23" s="151"/>
    </row>
    <row r="24" spans="5:15" ht="12.75"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5:15" ht="12.75"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5:15" ht="12.75"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5:15" ht="12.75"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5:15" ht="12.75"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5:15" ht="12.75"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5:15" ht="12.75"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  <row r="31" spans="5:15" ht="12.75"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5:15" ht="12.75"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5:15" ht="12.75"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5:15" ht="12.75"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5:15" ht="12.75"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5:15" ht="12.75"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</row>
  </sheetData>
  <sheetProtection selectLockedCells="1" selectUnlockedCells="1"/>
  <printOptions horizontalCentered="1"/>
  <pageMargins left="0.5" right="0.5" top="0.5" bottom="1" header="0.5" footer="0.5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W62"/>
  <sheetViews>
    <sheetView showGridLines="0" showRowColHeaders="0" zoomScalePageLayoutView="0" workbookViewId="0" topLeftCell="A1">
      <selection activeCell="G7" sqref="G7"/>
    </sheetView>
  </sheetViews>
  <sheetFormatPr defaultColWidth="9.33203125" defaultRowHeight="12.75"/>
  <cols>
    <col min="2" max="2" width="5.83203125" style="14" customWidth="1"/>
    <col min="3" max="3" width="16.66015625" style="14" customWidth="1"/>
    <col min="4" max="4" width="9.66015625" style="14" bestFit="1" customWidth="1"/>
    <col min="5" max="5" width="10.83203125" style="14" bestFit="1" customWidth="1"/>
    <col min="6" max="6" width="9.83203125" style="14" bestFit="1" customWidth="1"/>
    <col min="7" max="7" width="12.33203125" style="14" bestFit="1" customWidth="1"/>
    <col min="8" max="13" width="11.5" style="14" customWidth="1"/>
    <col min="14" max="15" width="11.16015625" style="14" customWidth="1"/>
    <col min="16" max="16" width="13.16015625" style="14" customWidth="1"/>
    <col min="18" max="18" width="11.16015625" style="0" customWidth="1"/>
  </cols>
  <sheetData>
    <row r="1" spans="3:23" ht="12.75">
      <c r="C1" s="14">
        <v>1</v>
      </c>
      <c r="D1" s="14">
        <v>2</v>
      </c>
      <c r="E1" s="14">
        <v>3</v>
      </c>
      <c r="F1" s="14">
        <v>4</v>
      </c>
      <c r="G1" s="14">
        <v>5</v>
      </c>
      <c r="H1" s="14">
        <v>6</v>
      </c>
      <c r="I1" s="14">
        <v>7</v>
      </c>
      <c r="J1" s="14">
        <v>8</v>
      </c>
      <c r="K1" s="14">
        <v>9</v>
      </c>
      <c r="L1" s="14">
        <v>10</v>
      </c>
      <c r="M1" s="14">
        <v>11</v>
      </c>
      <c r="N1" s="14">
        <v>12</v>
      </c>
      <c r="O1" s="14">
        <v>13</v>
      </c>
      <c r="P1" s="14">
        <v>14</v>
      </c>
      <c r="Q1" s="14">
        <v>15</v>
      </c>
      <c r="R1" s="14">
        <v>16</v>
      </c>
      <c r="S1" s="14">
        <v>17</v>
      </c>
      <c r="T1" s="14">
        <v>18</v>
      </c>
      <c r="U1" s="14">
        <v>19</v>
      </c>
      <c r="V1" s="14">
        <v>20</v>
      </c>
      <c r="W1" s="14">
        <v>21</v>
      </c>
    </row>
    <row r="2" spans="2:23" ht="38.25">
      <c r="B2" s="18"/>
      <c r="C2" s="190" t="s">
        <v>33</v>
      </c>
      <c r="D2" s="190" t="s">
        <v>31</v>
      </c>
      <c r="E2" s="190" t="s">
        <v>76</v>
      </c>
      <c r="F2" s="190" t="s">
        <v>36</v>
      </c>
      <c r="G2" s="190" t="s">
        <v>30</v>
      </c>
      <c r="H2" s="190" t="s">
        <v>44</v>
      </c>
      <c r="I2" s="190" t="s">
        <v>43</v>
      </c>
      <c r="J2" s="190" t="s">
        <v>52</v>
      </c>
      <c r="K2" s="190" t="s">
        <v>51</v>
      </c>
      <c r="L2" s="190" t="s">
        <v>50</v>
      </c>
      <c r="M2" s="190" t="s">
        <v>46</v>
      </c>
      <c r="N2" s="190" t="s">
        <v>68</v>
      </c>
      <c r="O2" s="190" t="s">
        <v>70</v>
      </c>
      <c r="P2" s="190" t="s">
        <v>69</v>
      </c>
      <c r="Q2" s="190" t="s">
        <v>35</v>
      </c>
      <c r="R2" s="190" t="s">
        <v>34</v>
      </c>
      <c r="S2" s="190" t="s">
        <v>14</v>
      </c>
      <c r="T2" s="191" t="s">
        <v>15</v>
      </c>
      <c r="U2" s="190" t="s">
        <v>53</v>
      </c>
      <c r="V2" s="190" t="s">
        <v>56</v>
      </c>
      <c r="W2" s="190" t="s">
        <v>40</v>
      </c>
    </row>
    <row r="3" spans="2:23" ht="12.75">
      <c r="B3" s="15">
        <v>1</v>
      </c>
      <c r="C3" s="192" t="s">
        <v>103</v>
      </c>
      <c r="D3" s="161" t="s">
        <v>104</v>
      </c>
      <c r="E3" s="162">
        <v>1754</v>
      </c>
      <c r="F3" s="162">
        <v>97.288</v>
      </c>
      <c r="G3" s="162">
        <v>170642.91</v>
      </c>
      <c r="H3" s="162">
        <v>90.6</v>
      </c>
      <c r="I3" s="162">
        <v>128</v>
      </c>
      <c r="J3" s="162">
        <v>143.7</v>
      </c>
      <c r="K3" s="162">
        <v>153.1</v>
      </c>
      <c r="L3" s="162">
        <v>103.5</v>
      </c>
      <c r="M3" s="162">
        <v>1.4</v>
      </c>
      <c r="N3" s="163">
        <v>2526.6</v>
      </c>
      <c r="O3" s="164">
        <v>2526.6</v>
      </c>
      <c r="P3" s="164">
        <v>2535</v>
      </c>
      <c r="Q3" s="162">
        <v>781</v>
      </c>
      <c r="R3" s="165"/>
      <c r="S3" s="166">
        <v>66</v>
      </c>
      <c r="T3" s="166">
        <v>66</v>
      </c>
      <c r="U3" s="166">
        <v>73</v>
      </c>
      <c r="V3" s="166">
        <v>89</v>
      </c>
      <c r="W3" s="169">
        <v>59</v>
      </c>
    </row>
    <row r="4" spans="2:23" ht="12.75">
      <c r="B4" s="16">
        <v>2</v>
      </c>
      <c r="C4" s="192" t="s">
        <v>116</v>
      </c>
      <c r="D4" s="161" t="s">
        <v>104</v>
      </c>
      <c r="E4" s="162">
        <v>1754</v>
      </c>
      <c r="F4" s="162">
        <v>97.288</v>
      </c>
      <c r="G4" s="162">
        <v>170642.91</v>
      </c>
      <c r="H4" s="162">
        <v>90.6</v>
      </c>
      <c r="I4" s="162">
        <v>128</v>
      </c>
      <c r="J4" s="162">
        <v>143.7</v>
      </c>
      <c r="K4" s="162">
        <v>153.1</v>
      </c>
      <c r="L4" s="162">
        <v>103.5</v>
      </c>
      <c r="M4" s="162">
        <v>1.4</v>
      </c>
      <c r="N4" s="163">
        <v>2526.6</v>
      </c>
      <c r="O4" s="164">
        <v>2526.6</v>
      </c>
      <c r="P4" s="164">
        <v>2535</v>
      </c>
      <c r="Q4" s="162">
        <v>781</v>
      </c>
      <c r="R4" s="165"/>
      <c r="S4" s="166">
        <v>66</v>
      </c>
      <c r="T4" s="166">
        <v>66</v>
      </c>
      <c r="U4" s="166">
        <v>73</v>
      </c>
      <c r="V4" s="166">
        <v>89</v>
      </c>
      <c r="W4" s="169">
        <v>59</v>
      </c>
    </row>
    <row r="5" spans="2:23" ht="12.75">
      <c r="B5" s="16">
        <v>3</v>
      </c>
      <c r="C5" s="193">
        <v>66991</v>
      </c>
      <c r="D5" s="184" t="s">
        <v>32</v>
      </c>
      <c r="E5" s="185">
        <v>1160.2</v>
      </c>
      <c r="F5" s="185">
        <v>30.02</v>
      </c>
      <c r="G5" s="185">
        <v>34831.18</v>
      </c>
      <c r="H5" s="185">
        <v>39</v>
      </c>
      <c r="I5" s="185" t="s">
        <v>45</v>
      </c>
      <c r="J5" s="185">
        <v>64</v>
      </c>
      <c r="K5" s="185">
        <v>84</v>
      </c>
      <c r="L5" s="185">
        <v>42</v>
      </c>
      <c r="M5" s="185">
        <v>1</v>
      </c>
      <c r="N5" s="186">
        <v>1675</v>
      </c>
      <c r="O5" s="187">
        <v>1670</v>
      </c>
      <c r="P5" s="187">
        <v>1670</v>
      </c>
      <c r="Q5" s="185">
        <v>509.8</v>
      </c>
      <c r="R5" s="188">
        <v>36922</v>
      </c>
      <c r="S5" s="18">
        <v>55</v>
      </c>
      <c r="T5" s="18">
        <v>67</v>
      </c>
      <c r="U5" s="18" t="s">
        <v>54</v>
      </c>
      <c r="V5" s="18">
        <v>104</v>
      </c>
      <c r="W5" s="145"/>
    </row>
    <row r="6" spans="2:23" ht="12.75">
      <c r="B6" s="16">
        <v>4</v>
      </c>
      <c r="C6" s="193"/>
      <c r="D6" s="184" t="s">
        <v>84</v>
      </c>
      <c r="E6" s="185">
        <v>1504.4</v>
      </c>
      <c r="F6" s="185">
        <v>39.18</v>
      </c>
      <c r="G6" s="185">
        <v>58942.58</v>
      </c>
      <c r="H6" s="185">
        <v>37</v>
      </c>
      <c r="I6" s="185">
        <v>73</v>
      </c>
      <c r="J6" s="185">
        <v>95</v>
      </c>
      <c r="K6" s="185">
        <v>123</v>
      </c>
      <c r="L6" s="185">
        <v>48</v>
      </c>
      <c r="M6" s="185">
        <v>1.1</v>
      </c>
      <c r="N6" s="186">
        <v>2407</v>
      </c>
      <c r="O6" s="187">
        <v>2400</v>
      </c>
      <c r="P6" s="187">
        <v>2400</v>
      </c>
      <c r="Q6" s="185">
        <v>860.4</v>
      </c>
      <c r="R6" s="188">
        <v>38274</v>
      </c>
      <c r="S6" s="18">
        <v>59</v>
      </c>
      <c r="T6" s="18">
        <v>73</v>
      </c>
      <c r="U6" s="18" t="s">
        <v>55</v>
      </c>
      <c r="V6" s="18">
        <v>97</v>
      </c>
      <c r="W6" s="145"/>
    </row>
    <row r="7" spans="2:23" ht="12.75">
      <c r="B7" s="16">
        <v>5</v>
      </c>
      <c r="C7" s="193">
        <v>65248</v>
      </c>
      <c r="D7" s="184" t="s">
        <v>77</v>
      </c>
      <c r="E7" s="185">
        <v>1701.7</v>
      </c>
      <c r="F7" s="185">
        <v>41.02</v>
      </c>
      <c r="G7" s="185">
        <v>69808</v>
      </c>
      <c r="H7" s="185">
        <v>37</v>
      </c>
      <c r="I7" s="185">
        <v>73</v>
      </c>
      <c r="J7" s="185">
        <v>95</v>
      </c>
      <c r="K7" s="185">
        <v>123</v>
      </c>
      <c r="L7" s="185">
        <v>48</v>
      </c>
      <c r="M7" s="185">
        <v>1.4</v>
      </c>
      <c r="N7" s="186">
        <v>2558</v>
      </c>
      <c r="O7" s="187">
        <v>2550</v>
      </c>
      <c r="P7" s="187">
        <v>2550</v>
      </c>
      <c r="Q7" s="185">
        <v>856.3</v>
      </c>
      <c r="R7" s="188">
        <v>38258</v>
      </c>
      <c r="S7" s="18">
        <v>62</v>
      </c>
      <c r="T7" s="18">
        <v>74</v>
      </c>
      <c r="U7" s="18" t="s">
        <v>55</v>
      </c>
      <c r="V7" s="18">
        <v>105</v>
      </c>
      <c r="W7" s="145"/>
    </row>
    <row r="8" spans="2:23" ht="12.75">
      <c r="B8" s="16">
        <v>6</v>
      </c>
      <c r="C8" s="193"/>
      <c r="D8" s="184" t="s">
        <v>85</v>
      </c>
      <c r="E8" s="185">
        <v>2116</v>
      </c>
      <c r="F8" s="185">
        <v>141.4</v>
      </c>
      <c r="G8" s="185">
        <v>299195</v>
      </c>
      <c r="H8" s="185">
        <v>143.5</v>
      </c>
      <c r="I8" s="185">
        <v>185</v>
      </c>
      <c r="J8" s="185">
        <v>208</v>
      </c>
      <c r="K8" s="185">
        <v>208</v>
      </c>
      <c r="L8" s="185">
        <v>153.8</v>
      </c>
      <c r="M8" s="185">
        <v>1</v>
      </c>
      <c r="N8" s="187">
        <v>3000</v>
      </c>
      <c r="O8" s="187">
        <v>3000</v>
      </c>
      <c r="P8" s="187">
        <v>2900</v>
      </c>
      <c r="Q8" s="185"/>
      <c r="R8" s="188"/>
      <c r="S8" s="18">
        <v>81</v>
      </c>
      <c r="T8" s="18">
        <v>91</v>
      </c>
      <c r="U8" s="18">
        <v>105</v>
      </c>
      <c r="V8" s="18">
        <v>131</v>
      </c>
      <c r="W8" s="145"/>
    </row>
    <row r="9" spans="2:23" ht="12.75">
      <c r="B9" s="16">
        <v>7</v>
      </c>
      <c r="C9" s="193"/>
      <c r="D9" s="184" t="s">
        <v>77</v>
      </c>
      <c r="E9" s="185">
        <v>1676</v>
      </c>
      <c r="F9" s="185">
        <v>40.45</v>
      </c>
      <c r="G9" s="185">
        <v>67794.211</v>
      </c>
      <c r="H9" s="185">
        <v>37</v>
      </c>
      <c r="I9" s="185">
        <v>73</v>
      </c>
      <c r="J9" s="185">
        <v>95</v>
      </c>
      <c r="K9" s="185">
        <v>123</v>
      </c>
      <c r="L9" s="185">
        <v>48</v>
      </c>
      <c r="M9" s="185">
        <v>1.1</v>
      </c>
      <c r="N9" s="186">
        <v>2558</v>
      </c>
      <c r="O9" s="187">
        <v>2550</v>
      </c>
      <c r="P9" s="187">
        <v>2550</v>
      </c>
      <c r="Q9" s="185">
        <v>856</v>
      </c>
      <c r="R9" s="188"/>
      <c r="S9" s="18">
        <v>62</v>
      </c>
      <c r="T9" s="18">
        <v>74</v>
      </c>
      <c r="U9" s="18" t="s">
        <v>55</v>
      </c>
      <c r="V9" s="18">
        <v>97</v>
      </c>
      <c r="W9" s="145"/>
    </row>
    <row r="10" spans="2:23" ht="12.75">
      <c r="B10" s="16">
        <v>8</v>
      </c>
      <c r="C10" s="19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45"/>
      <c r="R10" s="145"/>
      <c r="S10" s="145"/>
      <c r="T10" s="145"/>
      <c r="U10" s="145"/>
      <c r="V10" s="145"/>
      <c r="W10" s="145"/>
    </row>
    <row r="11" spans="2:23" ht="12.75">
      <c r="B11" s="16">
        <v>9</v>
      </c>
      <c r="C11" s="19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45"/>
      <c r="R11" s="145"/>
      <c r="S11" s="145"/>
      <c r="T11" s="145"/>
      <c r="U11" s="145"/>
      <c r="V11" s="145"/>
      <c r="W11" s="145"/>
    </row>
    <row r="12" spans="2:23" ht="12.75">
      <c r="B12" s="17">
        <v>10</v>
      </c>
      <c r="C12" s="19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45"/>
      <c r="R12" s="145"/>
      <c r="S12" s="145"/>
      <c r="T12" s="145"/>
      <c r="U12" s="145"/>
      <c r="V12" s="145"/>
      <c r="W12" s="145"/>
    </row>
    <row r="13" spans="3:23" ht="12.75">
      <c r="C13" s="194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45"/>
      <c r="R13" s="145"/>
      <c r="S13" s="145"/>
      <c r="T13" s="145"/>
      <c r="U13" s="145"/>
      <c r="V13" s="145"/>
      <c r="W13" s="145"/>
    </row>
    <row r="15" spans="2:16" ht="12.75">
      <c r="B15" s="18"/>
      <c r="C15" s="14">
        <v>1</v>
      </c>
      <c r="D15" s="14"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14">
        <v>8</v>
      </c>
      <c r="K15" s="14">
        <v>9</v>
      </c>
      <c r="L15" s="14">
        <v>10</v>
      </c>
      <c r="M15" s="14">
        <v>11</v>
      </c>
      <c r="N15" s="14">
        <v>12</v>
      </c>
      <c r="O15" s="14">
        <v>13</v>
      </c>
      <c r="P15" s="14">
        <v>14</v>
      </c>
    </row>
    <row r="16" spans="2:16" ht="12.75">
      <c r="B16" s="56"/>
      <c r="C16" s="30" t="s">
        <v>41</v>
      </c>
      <c r="D16" s="31" t="s">
        <v>42</v>
      </c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2.75">
      <c r="B17" s="56" t="s">
        <v>62</v>
      </c>
      <c r="C17" s="57"/>
      <c r="D17" s="58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9"/>
    </row>
    <row r="18" spans="2:16" ht="12.75">
      <c r="B18" s="56" t="s">
        <v>63</v>
      </c>
      <c r="C18" s="57" t="s">
        <v>86</v>
      </c>
      <c r="D18" s="51">
        <v>0</v>
      </c>
      <c r="E18" s="26"/>
      <c r="F18" s="70"/>
      <c r="G18" s="71" t="s">
        <v>66</v>
      </c>
      <c r="H18" s="27"/>
      <c r="I18" s="27"/>
      <c r="J18" s="27"/>
      <c r="K18" s="27"/>
      <c r="L18" s="27"/>
      <c r="M18" s="27"/>
      <c r="N18" s="27"/>
      <c r="O18" s="27"/>
      <c r="P18" s="20"/>
    </row>
    <row r="19" spans="2:16" ht="12.75">
      <c r="B19" s="56" t="s">
        <v>64</v>
      </c>
      <c r="C19" s="57" t="s">
        <v>79</v>
      </c>
      <c r="D19" s="58">
        <f>$D$18</f>
        <v>0</v>
      </c>
      <c r="E19" s="26"/>
      <c r="F19" s="27"/>
      <c r="G19" s="72" t="s">
        <v>67</v>
      </c>
      <c r="H19" s="27"/>
      <c r="I19" s="27"/>
      <c r="J19" s="27"/>
      <c r="K19" s="27"/>
      <c r="L19" s="27"/>
      <c r="M19" s="27"/>
      <c r="N19" s="27"/>
      <c r="O19" s="27"/>
      <c r="P19" s="20"/>
    </row>
    <row r="20" spans="2:16" ht="12.75">
      <c r="B20" s="56" t="s">
        <v>65</v>
      </c>
      <c r="C20" s="57" t="s">
        <v>80</v>
      </c>
      <c r="D20" s="58">
        <f>$D$18</f>
        <v>0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0"/>
    </row>
    <row r="21" spans="2:16" ht="12.75">
      <c r="B21" s="61"/>
      <c r="C21" s="57" t="s">
        <v>78</v>
      </c>
      <c r="D21" s="58">
        <f>$D$18</f>
        <v>0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0"/>
    </row>
    <row r="22" spans="2:16" ht="12.75">
      <c r="B22" s="56"/>
      <c r="C22" s="129" t="s">
        <v>81</v>
      </c>
      <c r="D22" s="58">
        <f>$D$18</f>
        <v>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0"/>
    </row>
    <row r="23" spans="2:16" ht="12.75">
      <c r="B23" s="56">
        <v>1</v>
      </c>
      <c r="C23" s="60" t="s">
        <v>100</v>
      </c>
      <c r="D23" s="68">
        <v>230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0"/>
    </row>
    <row r="24" spans="2:16" ht="12.75">
      <c r="B24" s="56"/>
      <c r="C24" s="60" t="s">
        <v>101</v>
      </c>
      <c r="D24" s="56">
        <f>$D$23</f>
        <v>230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0"/>
    </row>
    <row r="25" spans="2:16" ht="12.75">
      <c r="B25" s="56"/>
      <c r="C25" s="60" t="s">
        <v>102</v>
      </c>
      <c r="D25" s="56">
        <f>$D$23</f>
        <v>230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0"/>
    </row>
    <row r="26" spans="2:16" ht="12.75">
      <c r="B26" s="61"/>
      <c r="C26" s="60"/>
      <c r="D26" s="56">
        <f>$D$23</f>
        <v>230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0"/>
    </row>
    <row r="27" spans="2:16" ht="12.75">
      <c r="B27" s="59"/>
      <c r="C27" s="62"/>
      <c r="D27" s="56">
        <f>$D$23</f>
        <v>230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0"/>
    </row>
    <row r="28" spans="2:16" ht="12.75">
      <c r="B28" s="56">
        <v>2</v>
      </c>
      <c r="C28" s="189" t="s">
        <v>108</v>
      </c>
      <c r="D28" s="52">
        <v>180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0"/>
    </row>
    <row r="29" spans="2:16" ht="12.75">
      <c r="B29" s="56"/>
      <c r="C29" s="189" t="s">
        <v>109</v>
      </c>
      <c r="D29" s="58">
        <f>$D$28</f>
        <v>180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0"/>
    </row>
    <row r="30" spans="2:16" ht="12.75">
      <c r="B30" s="56"/>
      <c r="C30" s="189" t="s">
        <v>110</v>
      </c>
      <c r="D30" s="58">
        <v>180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0"/>
    </row>
    <row r="31" spans="2:16" ht="12.75">
      <c r="B31" s="61"/>
      <c r="C31" s="60"/>
      <c r="D31" s="58">
        <f>$D$28</f>
        <v>180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0"/>
    </row>
    <row r="32" spans="2:16" ht="12.75">
      <c r="B32" s="56"/>
      <c r="C32" s="62"/>
      <c r="D32" s="61">
        <f>$D$28</f>
        <v>180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0"/>
    </row>
    <row r="33" spans="2:16" ht="12.75">
      <c r="B33" s="56">
        <v>3</v>
      </c>
      <c r="C33" s="189" t="s">
        <v>112</v>
      </c>
      <c r="D33" s="51">
        <v>200</v>
      </c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0"/>
    </row>
    <row r="34" spans="2:16" ht="12.75">
      <c r="B34" s="56"/>
      <c r="C34" s="60"/>
      <c r="D34" s="58">
        <f>$D$33</f>
        <v>200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0"/>
    </row>
    <row r="35" spans="2:16" ht="12.75">
      <c r="B35" s="56"/>
      <c r="C35" s="60"/>
      <c r="D35" s="58">
        <f>$D$33</f>
        <v>200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0"/>
    </row>
    <row r="36" spans="2:16" ht="12.75">
      <c r="B36" s="61"/>
      <c r="C36" s="60"/>
      <c r="D36" s="58">
        <f>$D$33</f>
        <v>200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0"/>
    </row>
    <row r="37" spans="2:16" ht="12.75">
      <c r="B37" s="56"/>
      <c r="C37" s="62"/>
      <c r="D37" s="61">
        <f>$D$33</f>
        <v>200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0"/>
    </row>
    <row r="38" spans="2:16" ht="12.75">
      <c r="B38" s="56">
        <v>4</v>
      </c>
      <c r="C38" s="60">
        <v>150</v>
      </c>
      <c r="D38" s="51">
        <v>150</v>
      </c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0"/>
    </row>
    <row r="39" spans="2:16" ht="12.75">
      <c r="B39" s="56"/>
      <c r="C39" s="60"/>
      <c r="D39" s="63">
        <f>$D$38</f>
        <v>150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0"/>
    </row>
    <row r="40" spans="2:16" ht="12.75">
      <c r="B40" s="56"/>
      <c r="C40" s="60"/>
      <c r="D40" s="63">
        <f>$D$38</f>
        <v>150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0"/>
    </row>
    <row r="41" spans="2:16" ht="12.75">
      <c r="B41" s="61"/>
      <c r="C41" s="60"/>
      <c r="D41" s="63">
        <f>$D$38</f>
        <v>150</v>
      </c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0"/>
    </row>
    <row r="42" spans="2:16" ht="12.75">
      <c r="B42" s="56"/>
      <c r="C42" s="62"/>
      <c r="D42" s="61">
        <f>$D$38</f>
        <v>150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0"/>
    </row>
    <row r="43" spans="2:16" ht="12.75">
      <c r="B43" s="56">
        <v>5</v>
      </c>
      <c r="C43" s="60">
        <v>160</v>
      </c>
      <c r="D43" s="51">
        <v>160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0"/>
    </row>
    <row r="44" spans="2:16" ht="12.75">
      <c r="B44" s="56"/>
      <c r="C44" s="60"/>
      <c r="D44" s="63">
        <f>$D$43</f>
        <v>160</v>
      </c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0"/>
    </row>
    <row r="45" spans="2:16" ht="12.75">
      <c r="B45" s="56"/>
      <c r="C45" s="60"/>
      <c r="D45" s="63">
        <f>$D$43</f>
        <v>160</v>
      </c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0"/>
    </row>
    <row r="46" spans="2:16" ht="12.75">
      <c r="B46" s="61"/>
      <c r="C46" s="60"/>
      <c r="D46" s="63">
        <f>$D$43</f>
        <v>160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0"/>
    </row>
    <row r="47" spans="2:16" ht="12.75">
      <c r="B47" s="56"/>
      <c r="C47" s="62"/>
      <c r="D47" s="61">
        <f>$D$43</f>
        <v>160</v>
      </c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0"/>
    </row>
    <row r="48" spans="2:16" ht="12.75">
      <c r="B48" s="56">
        <v>6</v>
      </c>
      <c r="C48" s="60">
        <v>170</v>
      </c>
      <c r="D48" s="51">
        <v>170</v>
      </c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0"/>
    </row>
    <row r="49" spans="2:16" ht="12.75">
      <c r="B49" s="56"/>
      <c r="C49" s="60"/>
      <c r="D49" s="63">
        <f>$D$48</f>
        <v>170</v>
      </c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0"/>
    </row>
    <row r="50" spans="2:16" ht="12.75">
      <c r="B50" s="56"/>
      <c r="C50" s="60"/>
      <c r="D50" s="63">
        <f>$D$48</f>
        <v>170</v>
      </c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0"/>
    </row>
    <row r="51" spans="2:16" ht="12.75">
      <c r="B51" s="61"/>
      <c r="C51" s="60"/>
      <c r="D51" s="63">
        <f>$D$48</f>
        <v>170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0"/>
    </row>
    <row r="52" spans="2:16" ht="12.75">
      <c r="B52" s="56"/>
      <c r="C52" s="62"/>
      <c r="D52" s="61">
        <f>$D$48</f>
        <v>170</v>
      </c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0"/>
    </row>
    <row r="53" spans="2:16" ht="12.75">
      <c r="B53" s="56">
        <v>7</v>
      </c>
      <c r="C53" s="60">
        <v>180</v>
      </c>
      <c r="D53" s="69">
        <v>180</v>
      </c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0"/>
    </row>
    <row r="54" spans="2:16" ht="12.75">
      <c r="B54" s="56"/>
      <c r="C54" s="60"/>
      <c r="D54" s="63">
        <f>$D$53</f>
        <v>180</v>
      </c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0"/>
    </row>
    <row r="55" spans="2:16" ht="12.75">
      <c r="B55" s="56"/>
      <c r="C55" s="60"/>
      <c r="D55" s="63">
        <f>$D$53</f>
        <v>180</v>
      </c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0"/>
    </row>
    <row r="56" spans="2:16" ht="12.75">
      <c r="B56" s="61"/>
      <c r="C56" s="60"/>
      <c r="D56" s="63">
        <f>$D$53</f>
        <v>180</v>
      </c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0"/>
    </row>
    <row r="57" spans="2:16" ht="12.75">
      <c r="B57" s="56"/>
      <c r="C57" s="62"/>
      <c r="D57" s="64">
        <f>$D$53</f>
        <v>180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0"/>
    </row>
    <row r="58" spans="2:16" ht="12.75">
      <c r="B58" s="56">
        <v>8</v>
      </c>
      <c r="C58" s="65">
        <v>190</v>
      </c>
      <c r="D58" s="68">
        <v>190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0"/>
    </row>
    <row r="59" spans="2:16" ht="12.75">
      <c r="B59" s="56"/>
      <c r="C59" s="65"/>
      <c r="D59" s="56">
        <f>$D$58</f>
        <v>190</v>
      </c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0"/>
    </row>
    <row r="60" spans="2:16" ht="12.75">
      <c r="B60" s="56"/>
      <c r="C60" s="65"/>
      <c r="D60" s="56">
        <f>$D$58</f>
        <v>190</v>
      </c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0"/>
    </row>
    <row r="61" spans="2:16" ht="12.75">
      <c r="B61" s="61"/>
      <c r="C61" s="66"/>
      <c r="D61" s="56">
        <f>$D$58</f>
        <v>190</v>
      </c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0"/>
    </row>
    <row r="62" spans="3:16" ht="12.75">
      <c r="C62" s="67"/>
      <c r="D62" s="61">
        <f>$D$58</f>
        <v>190</v>
      </c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1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E33" sqref="E33"/>
    </sheetView>
  </sheetViews>
  <sheetFormatPr defaultColWidth="9.33203125" defaultRowHeight="12.75"/>
  <cols>
    <col min="1" max="1" width="14.66015625" style="0" customWidth="1"/>
    <col min="2" max="2" width="13.5" style="0" customWidth="1"/>
    <col min="3" max="3" width="16.33203125" style="0" customWidth="1"/>
    <col min="4" max="4" width="12.33203125" style="0" customWidth="1"/>
    <col min="5" max="5" width="17.66015625" style="0" customWidth="1"/>
    <col min="6" max="6" width="15.5" style="0" customWidth="1"/>
  </cols>
  <sheetData>
    <row r="3" spans="1:12" s="326" customFormat="1" ht="12.75">
      <c r="A3" s="325" t="s">
        <v>117</v>
      </c>
      <c r="B3" s="325" t="s">
        <v>31</v>
      </c>
      <c r="C3" s="325" t="s">
        <v>118</v>
      </c>
      <c r="D3" s="325" t="s">
        <v>119</v>
      </c>
      <c r="E3" s="325" t="s">
        <v>122</v>
      </c>
      <c r="F3" s="325" t="s">
        <v>35</v>
      </c>
      <c r="G3" s="325"/>
      <c r="H3" s="325"/>
      <c r="I3" s="325"/>
      <c r="J3" s="325"/>
      <c r="K3" s="325"/>
      <c r="L3" s="325"/>
    </row>
    <row r="4" spans="1:13" ht="12.75">
      <c r="A4" s="324" t="s">
        <v>120</v>
      </c>
      <c r="B4" s="324" t="s">
        <v>121</v>
      </c>
      <c r="C4" s="324">
        <v>1678.4</v>
      </c>
      <c r="D4" s="324"/>
      <c r="E4" s="324">
        <v>66406.8</v>
      </c>
      <c r="F4" s="324">
        <v>871.6</v>
      </c>
      <c r="G4" s="323"/>
      <c r="H4" s="323"/>
      <c r="I4" s="323"/>
      <c r="J4" s="323"/>
      <c r="K4" s="323"/>
      <c r="L4" s="323"/>
      <c r="M4" s="323"/>
    </row>
    <row r="5" spans="1:13" ht="12.75">
      <c r="A5" s="324" t="s">
        <v>123</v>
      </c>
      <c r="B5" s="324" t="s">
        <v>121</v>
      </c>
      <c r="C5" s="324">
        <v>1757.4</v>
      </c>
      <c r="D5" s="324">
        <v>42.323</v>
      </c>
      <c r="E5" s="324">
        <v>74379</v>
      </c>
      <c r="F5" s="324">
        <v>809</v>
      </c>
      <c r="G5" s="323"/>
      <c r="H5" s="323"/>
      <c r="I5" s="323"/>
      <c r="J5" s="323"/>
      <c r="K5" s="323"/>
      <c r="L5" s="323"/>
      <c r="M5" s="323"/>
    </row>
    <row r="6" spans="1:13" ht="12.75">
      <c r="A6" s="324" t="s">
        <v>124</v>
      </c>
      <c r="B6" s="324" t="s">
        <v>121</v>
      </c>
      <c r="C6" s="324">
        <v>1685.2</v>
      </c>
      <c r="D6" s="324">
        <v>40.34</v>
      </c>
      <c r="E6" s="324">
        <v>67974.3</v>
      </c>
      <c r="F6" s="324">
        <v>864.8</v>
      </c>
      <c r="G6" s="323"/>
      <c r="H6" s="323"/>
      <c r="I6" s="323"/>
      <c r="J6" s="323"/>
      <c r="K6" s="323"/>
      <c r="L6" s="323"/>
      <c r="M6" s="323"/>
    </row>
    <row r="7" spans="1:13" ht="12.75">
      <c r="A7" s="324"/>
      <c r="B7" s="324"/>
      <c r="C7" s="324"/>
      <c r="D7" s="324"/>
      <c r="E7" s="324"/>
      <c r="F7" s="324"/>
      <c r="G7" s="323"/>
      <c r="H7" s="323"/>
      <c r="I7" s="323"/>
      <c r="J7" s="323"/>
      <c r="K7" s="323"/>
      <c r="L7" s="323"/>
      <c r="M7" s="323"/>
    </row>
    <row r="8" spans="1:13" ht="12.75">
      <c r="A8" s="324"/>
      <c r="B8" s="324"/>
      <c r="C8" s="324"/>
      <c r="D8" s="324"/>
      <c r="E8" s="324"/>
      <c r="F8" s="324"/>
      <c r="G8" s="323"/>
      <c r="H8" s="323"/>
      <c r="I8" s="323"/>
      <c r="J8" s="323"/>
      <c r="K8" s="323"/>
      <c r="L8" s="323"/>
      <c r="M8" s="323"/>
    </row>
    <row r="9" spans="1:13" ht="12.75">
      <c r="A9" s="324"/>
      <c r="B9" s="324"/>
      <c r="C9" s="324"/>
      <c r="D9" s="324"/>
      <c r="E9" s="324"/>
      <c r="F9" s="324"/>
      <c r="G9" s="323"/>
      <c r="H9" s="323"/>
      <c r="I9" s="323"/>
      <c r="J9" s="323"/>
      <c r="K9" s="323"/>
      <c r="L9" s="323"/>
      <c r="M9" s="323"/>
    </row>
    <row r="10" spans="1:13" ht="12.75">
      <c r="A10" s="324"/>
      <c r="B10" s="324"/>
      <c r="C10" s="324"/>
      <c r="D10" s="324"/>
      <c r="E10" s="324"/>
      <c r="F10" s="324"/>
      <c r="G10" s="323"/>
      <c r="H10" s="323"/>
      <c r="I10" s="323"/>
      <c r="J10" s="323"/>
      <c r="K10" s="323"/>
      <c r="L10" s="323"/>
      <c r="M10" s="323"/>
    </row>
    <row r="11" spans="1:13" ht="12.75">
      <c r="A11" s="324"/>
      <c r="B11" s="324"/>
      <c r="C11" s="324"/>
      <c r="D11" s="324"/>
      <c r="E11" s="324"/>
      <c r="F11" s="324"/>
      <c r="G11" s="323"/>
      <c r="H11" s="323"/>
      <c r="I11" s="323"/>
      <c r="J11" s="323"/>
      <c r="K11" s="323"/>
      <c r="L11" s="323"/>
      <c r="M11" s="323"/>
    </row>
    <row r="12" spans="1:13" ht="12.75">
      <c r="A12" s="324"/>
      <c r="B12" s="324"/>
      <c r="C12" s="324"/>
      <c r="D12" s="324"/>
      <c r="E12" s="324"/>
      <c r="F12" s="324"/>
      <c r="G12" s="323"/>
      <c r="H12" s="323"/>
      <c r="I12" s="323"/>
      <c r="J12" s="323"/>
      <c r="K12" s="323"/>
      <c r="L12" s="323"/>
      <c r="M12" s="323"/>
    </row>
    <row r="13" spans="1:13" ht="12.75">
      <c r="A13" s="324"/>
      <c r="B13" s="324"/>
      <c r="C13" s="324"/>
      <c r="D13" s="324"/>
      <c r="E13" s="324"/>
      <c r="F13" s="324"/>
      <c r="G13" s="323"/>
      <c r="H13" s="323"/>
      <c r="I13" s="323"/>
      <c r="J13" s="323"/>
      <c r="K13" s="323"/>
      <c r="L13" s="323"/>
      <c r="M13" s="323"/>
    </row>
    <row r="14" spans="1:13" ht="12.75">
      <c r="A14" s="324"/>
      <c r="B14" s="324"/>
      <c r="C14" s="324"/>
      <c r="D14" s="324"/>
      <c r="E14" s="324"/>
      <c r="F14" s="324"/>
      <c r="G14" s="323"/>
      <c r="H14" s="323"/>
      <c r="I14" s="323"/>
      <c r="J14" s="323"/>
      <c r="K14" s="323"/>
      <c r="L14" s="323"/>
      <c r="M14" s="323"/>
    </row>
    <row r="15" spans="1:13" ht="12.75">
      <c r="A15" s="324"/>
      <c r="B15" s="324"/>
      <c r="C15" s="324"/>
      <c r="D15" s="324"/>
      <c r="E15" s="324"/>
      <c r="F15" s="324"/>
      <c r="G15" s="323"/>
      <c r="H15" s="323"/>
      <c r="I15" s="323"/>
      <c r="J15" s="323"/>
      <c r="K15" s="323"/>
      <c r="L15" s="323"/>
      <c r="M15" s="323"/>
    </row>
    <row r="16" spans="1:13" ht="12.75">
      <c r="A16" s="324"/>
      <c r="B16" s="324"/>
      <c r="C16" s="324"/>
      <c r="D16" s="324"/>
      <c r="E16" s="324"/>
      <c r="F16" s="324"/>
      <c r="G16" s="323"/>
      <c r="H16" s="323"/>
      <c r="I16" s="323"/>
      <c r="J16" s="323"/>
      <c r="K16" s="323"/>
      <c r="L16" s="323"/>
      <c r="M16" s="323"/>
    </row>
    <row r="17" spans="1:13" ht="12.75">
      <c r="A17" s="324"/>
      <c r="B17" s="324"/>
      <c r="C17" s="324"/>
      <c r="D17" s="324"/>
      <c r="E17" s="324"/>
      <c r="F17" s="324"/>
      <c r="G17" s="323"/>
      <c r="H17" s="323"/>
      <c r="I17" s="323"/>
      <c r="J17" s="323"/>
      <c r="K17" s="323"/>
      <c r="L17" s="323"/>
      <c r="M17" s="323"/>
    </row>
    <row r="18" spans="1:13" ht="12.75">
      <c r="A18" s="324"/>
      <c r="B18" s="324"/>
      <c r="C18" s="324"/>
      <c r="D18" s="324"/>
      <c r="E18" s="324"/>
      <c r="F18" s="324"/>
      <c r="G18" s="323"/>
      <c r="H18" s="323"/>
      <c r="I18" s="323"/>
      <c r="J18" s="323"/>
      <c r="K18" s="323"/>
      <c r="L18" s="323"/>
      <c r="M18" s="323"/>
    </row>
    <row r="19" spans="1:13" ht="12.75">
      <c r="A19" s="324"/>
      <c r="B19" s="324"/>
      <c r="C19" s="324"/>
      <c r="D19" s="324"/>
      <c r="E19" s="324"/>
      <c r="F19" s="324"/>
      <c r="G19" s="323"/>
      <c r="H19" s="323"/>
      <c r="I19" s="323"/>
      <c r="J19" s="323"/>
      <c r="K19" s="323"/>
      <c r="L19" s="323"/>
      <c r="M19" s="323"/>
    </row>
    <row r="20" spans="1:13" ht="12.75">
      <c r="A20" s="324"/>
      <c r="B20" s="324"/>
      <c r="C20" s="324"/>
      <c r="D20" s="324"/>
      <c r="E20" s="324"/>
      <c r="F20" s="324"/>
      <c r="G20" s="323"/>
      <c r="H20" s="323"/>
      <c r="I20" s="323"/>
      <c r="J20" s="323"/>
      <c r="K20" s="323"/>
      <c r="L20" s="323"/>
      <c r="M20" s="323"/>
    </row>
    <row r="21" spans="1:13" ht="12.75">
      <c r="A21" s="324"/>
      <c r="B21" s="324"/>
      <c r="C21" s="324"/>
      <c r="D21" s="324"/>
      <c r="E21" s="324"/>
      <c r="F21" s="324"/>
      <c r="G21" s="323"/>
      <c r="H21" s="323"/>
      <c r="I21" s="323"/>
      <c r="J21" s="323"/>
      <c r="K21" s="323"/>
      <c r="L21" s="323"/>
      <c r="M21" s="323"/>
    </row>
    <row r="22" spans="1:13" ht="12.75">
      <c r="A22" s="324"/>
      <c r="B22" s="324"/>
      <c r="C22" s="324"/>
      <c r="D22" s="324"/>
      <c r="E22" s="324"/>
      <c r="F22" s="324"/>
      <c r="G22" s="323"/>
      <c r="H22" s="323"/>
      <c r="I22" s="323"/>
      <c r="J22" s="323"/>
      <c r="K22" s="323"/>
      <c r="L22" s="323"/>
      <c r="M22" s="323"/>
    </row>
    <row r="23" spans="1:13" ht="12.75">
      <c r="A23" s="324"/>
      <c r="B23" s="324"/>
      <c r="C23" s="324"/>
      <c r="D23" s="324"/>
      <c r="E23" s="324"/>
      <c r="F23" s="324"/>
      <c r="G23" s="323"/>
      <c r="H23" s="323"/>
      <c r="I23" s="323"/>
      <c r="J23" s="323"/>
      <c r="K23" s="323"/>
      <c r="L23" s="323"/>
      <c r="M23" s="323"/>
    </row>
    <row r="24" spans="1:13" ht="12.75">
      <c r="A24" s="324"/>
      <c r="B24" s="324"/>
      <c r="C24" s="324"/>
      <c r="D24" s="324"/>
      <c r="E24" s="324"/>
      <c r="F24" s="324"/>
      <c r="G24" s="323"/>
      <c r="H24" s="323"/>
      <c r="I24" s="323"/>
      <c r="J24" s="323"/>
      <c r="K24" s="323"/>
      <c r="L24" s="323"/>
      <c r="M24" s="323"/>
    </row>
    <row r="25" spans="1:13" ht="12.75">
      <c r="A25" s="324"/>
      <c r="B25" s="324"/>
      <c r="C25" s="324"/>
      <c r="D25" s="324"/>
      <c r="E25" s="324"/>
      <c r="F25" s="324"/>
      <c r="G25" s="323"/>
      <c r="H25" s="323"/>
      <c r="I25" s="323"/>
      <c r="J25" s="323"/>
      <c r="K25" s="323"/>
      <c r="L25" s="323"/>
      <c r="M25" s="323"/>
    </row>
    <row r="26" spans="1:13" ht="12.75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</row>
    <row r="27" spans="1:13" ht="12.75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3" ht="12.75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</row>
    <row r="29" spans="1:13" ht="12.75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</row>
    <row r="30" spans="1:13" ht="12.75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</row>
    <row r="31" spans="1:13" ht="12.75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</row>
    <row r="32" spans="1:13" ht="12.75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Andrew</dc:creator>
  <cp:keywords/>
  <dc:description/>
  <cp:lastModifiedBy>Wayne Pratt</cp:lastModifiedBy>
  <cp:lastPrinted>2008-11-08T03:07:20Z</cp:lastPrinted>
  <dcterms:created xsi:type="dcterms:W3CDTF">2003-03-21T00:44:43Z</dcterms:created>
  <dcterms:modified xsi:type="dcterms:W3CDTF">2009-06-07T18:18:55Z</dcterms:modified>
  <cp:category/>
  <cp:version/>
  <cp:contentType/>
  <cp:contentStatus/>
</cp:coreProperties>
</file>